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C:\Users\pcharalambides12\Documents\Petros\Website\"/>
    </mc:Choice>
  </mc:AlternateContent>
  <xr:revisionPtr revIDLastSave="0" documentId="8_{AD54B12F-1026-4FA8-A1A6-24F53E672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PUT" sheetId="1" r:id="rId1"/>
    <sheet name="CALCULATIONS" sheetId="2" r:id="rId2"/>
    <sheet name="OUTPUT" sheetId="3" r:id="rId3"/>
  </sheets>
  <definedNames>
    <definedName name="_xlnm._FilterDatabase" localSheetId="1" hidden="1">CALCULATIONS!$A$33:$I$39</definedName>
  </definedNames>
  <calcPr calcId="191029"/>
</workbook>
</file>

<file path=xl/calcChain.xml><?xml version="1.0" encoding="utf-8"?>
<calcChain xmlns="http://schemas.openxmlformats.org/spreadsheetml/2006/main">
  <c r="B35" i="2" l="1"/>
  <c r="E35" i="2"/>
  <c r="F35" i="2"/>
  <c r="G35" i="2"/>
  <c r="D66" i="2" l="1"/>
  <c r="D67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42" i="2"/>
  <c r="C42" i="2"/>
  <c r="B42" i="2"/>
  <c r="G36" i="2"/>
  <c r="G34" i="2"/>
  <c r="G37" i="2"/>
  <c r="G38" i="2"/>
  <c r="G39" i="2"/>
  <c r="F37" i="2"/>
  <c r="F38" i="2"/>
  <c r="F39" i="2"/>
  <c r="F34" i="2"/>
  <c r="F36" i="2"/>
  <c r="E37" i="2"/>
  <c r="E38" i="2"/>
  <c r="E39" i="2"/>
  <c r="E34" i="2"/>
  <c r="E36" i="2"/>
  <c r="B37" i="2"/>
  <c r="B38" i="2"/>
  <c r="B39" i="2"/>
  <c r="B34" i="2"/>
  <c r="B36" i="2"/>
  <c r="A5" i="2"/>
  <c r="A6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C65" i="2" s="1"/>
  <c r="F65" i="2" s="1"/>
  <c r="B5" i="2"/>
  <c r="C43" i="2" s="1"/>
  <c r="F43" i="2" s="1"/>
  <c r="L43" i="2" l="1"/>
  <c r="A7" i="2"/>
  <c r="B44" i="2"/>
  <c r="L65" i="2"/>
  <c r="C63" i="2"/>
  <c r="F63" i="2" s="1"/>
  <c r="L63" i="2" s="1"/>
  <c r="C59" i="2"/>
  <c r="F59" i="2" s="1"/>
  <c r="L59" i="2" s="1"/>
  <c r="C51" i="2"/>
  <c r="F51" i="2" s="1"/>
  <c r="L51" i="2" s="1"/>
  <c r="C47" i="2"/>
  <c r="F47" i="2" s="1"/>
  <c r="L47" i="2" s="1"/>
  <c r="C64" i="2"/>
  <c r="F64" i="2" s="1"/>
  <c r="L64" i="2" s="1"/>
  <c r="C60" i="2"/>
  <c r="F60" i="2" s="1"/>
  <c r="L60" i="2" s="1"/>
  <c r="C56" i="2"/>
  <c r="F56" i="2" s="1"/>
  <c r="L56" i="2" s="1"/>
  <c r="C52" i="2"/>
  <c r="F52" i="2" s="1"/>
  <c r="L52" i="2" s="1"/>
  <c r="C48" i="2"/>
  <c r="F48" i="2" s="1"/>
  <c r="L48" i="2" s="1"/>
  <c r="C44" i="2"/>
  <c r="F44" i="2" s="1"/>
  <c r="L44" i="2" s="1"/>
  <c r="B43" i="2"/>
  <c r="B28" i="2"/>
  <c r="C61" i="2"/>
  <c r="F61" i="2" s="1"/>
  <c r="L61" i="2" s="1"/>
  <c r="C57" i="2"/>
  <c r="F57" i="2" s="1"/>
  <c r="L57" i="2" s="1"/>
  <c r="C53" i="2"/>
  <c r="F53" i="2" s="1"/>
  <c r="L53" i="2" s="1"/>
  <c r="C49" i="2"/>
  <c r="F49" i="2" s="1"/>
  <c r="L49" i="2" s="1"/>
  <c r="C45" i="2"/>
  <c r="F45" i="2" s="1"/>
  <c r="L45" i="2" s="1"/>
  <c r="C55" i="2"/>
  <c r="F55" i="2" s="1"/>
  <c r="L55" i="2" s="1"/>
  <c r="C62" i="2"/>
  <c r="F62" i="2" s="1"/>
  <c r="L62" i="2" s="1"/>
  <c r="C58" i="2"/>
  <c r="F58" i="2" s="1"/>
  <c r="L58" i="2" s="1"/>
  <c r="C54" i="2"/>
  <c r="F54" i="2" s="1"/>
  <c r="L54" i="2" s="1"/>
  <c r="C50" i="2"/>
  <c r="F50" i="2" s="1"/>
  <c r="L50" i="2" s="1"/>
  <c r="C46" i="2"/>
  <c r="F46" i="2" s="1"/>
  <c r="L46" i="2" s="1"/>
  <c r="G55" i="2"/>
  <c r="G44" i="2"/>
  <c r="H44" i="2" s="1"/>
  <c r="G58" i="2"/>
  <c r="G57" i="2"/>
  <c r="H57" i="2" s="1"/>
  <c r="G50" i="2"/>
  <c r="G43" i="2"/>
  <c r="H43" i="2" s="1"/>
  <c r="G42" i="2"/>
  <c r="G61" i="2"/>
  <c r="G52" i="2"/>
  <c r="H52" i="2" s="1"/>
  <c r="G56" i="2"/>
  <c r="H56" i="2" s="1"/>
  <c r="G45" i="2"/>
  <c r="G49" i="2"/>
  <c r="H49" i="2" s="1"/>
  <c r="G62" i="2"/>
  <c r="H62" i="2" s="1"/>
  <c r="G53" i="2"/>
  <c r="H53" i="2" s="1"/>
  <c r="G46" i="2"/>
  <c r="H46" i="2" s="1"/>
  <c r="G63" i="2"/>
  <c r="G54" i="2"/>
  <c r="H54" i="2" s="1"/>
  <c r="G47" i="2"/>
  <c r="B18" i="1"/>
  <c r="C34" i="2" s="1"/>
  <c r="D34" i="2" s="1"/>
  <c r="H34" i="2" s="1"/>
  <c r="I34" i="2" s="1"/>
  <c r="B19" i="1"/>
  <c r="C36" i="2" s="1"/>
  <c r="D36" i="2" s="1"/>
  <c r="H36" i="2" s="1"/>
  <c r="I36" i="2" s="1"/>
  <c r="C75" i="2"/>
  <c r="C76" i="2"/>
  <c r="F42" i="2"/>
  <c r="A43" i="2"/>
  <c r="A44" i="2"/>
  <c r="A45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B16" i="1"/>
  <c r="C38" i="2" s="1"/>
  <c r="D38" i="2" s="1"/>
  <c r="H38" i="2" s="1"/>
  <c r="I38" i="2" s="1"/>
  <c r="B17" i="1"/>
  <c r="C39" i="2" s="1"/>
  <c r="D39" i="2" s="1"/>
  <c r="H39" i="2" s="1"/>
  <c r="I39" i="2" s="1"/>
  <c r="B15" i="1"/>
  <c r="C37" i="2" s="1"/>
  <c r="D37" i="2" s="1"/>
  <c r="H37" i="2" s="1"/>
  <c r="I37" i="2" s="1"/>
  <c r="B14" i="1"/>
  <c r="C35" i="2" s="1"/>
  <c r="D35" i="2" s="1"/>
  <c r="H35" i="2" s="1"/>
  <c r="I35" i="2" s="1"/>
  <c r="G51" i="2" l="1"/>
  <c r="H51" i="2" s="1"/>
  <c r="H63" i="2"/>
  <c r="H45" i="2"/>
  <c r="H58" i="2"/>
  <c r="H61" i="2"/>
  <c r="I61" i="2" s="1"/>
  <c r="J61" i="2" s="1"/>
  <c r="H47" i="2"/>
  <c r="H50" i="2"/>
  <c r="H55" i="2"/>
  <c r="I55" i="2" s="1"/>
  <c r="J55" i="2" s="1"/>
  <c r="G59" i="2"/>
  <c r="H59" i="2" s="1"/>
  <c r="I59" i="2" s="1"/>
  <c r="J59" i="2" s="1"/>
  <c r="G48" i="2"/>
  <c r="H48" i="2" s="1"/>
  <c r="I48" i="2" s="1"/>
  <c r="J48" i="2" s="1"/>
  <c r="G60" i="2"/>
  <c r="H60" i="2" s="1"/>
  <c r="C66" i="2"/>
  <c r="F66" i="2" s="1"/>
  <c r="L66" i="2" s="1"/>
  <c r="B29" i="2"/>
  <c r="C67" i="2" s="1"/>
  <c r="F67" i="2" s="1"/>
  <c r="L67" i="2" s="1"/>
  <c r="A8" i="2"/>
  <c r="B45" i="2"/>
  <c r="H42" i="2"/>
  <c r="I42" i="2" s="1"/>
  <c r="J42" i="2" s="1"/>
  <c r="I62" i="2"/>
  <c r="J62" i="2" s="1"/>
  <c r="I63" i="2"/>
  <c r="J63" i="2" s="1"/>
  <c r="I49" i="2"/>
  <c r="J49" i="2" s="1"/>
  <c r="G65" i="2"/>
  <c r="H65" i="2" s="1"/>
  <c r="G67" i="2"/>
  <c r="H67" i="2" s="1"/>
  <c r="I46" i="2"/>
  <c r="J46" i="2" s="1"/>
  <c r="I45" i="2"/>
  <c r="J45" i="2" s="1"/>
  <c r="I58" i="2"/>
  <c r="J58" i="2" s="1"/>
  <c r="I51" i="2"/>
  <c r="J51" i="2" s="1"/>
  <c r="I47" i="2"/>
  <c r="J47" i="2" s="1"/>
  <c r="I53" i="2"/>
  <c r="J53" i="2" s="1"/>
  <c r="I56" i="2"/>
  <c r="J56" i="2" s="1"/>
  <c r="I50" i="2"/>
  <c r="J50" i="2" s="1"/>
  <c r="G64" i="2"/>
  <c r="H64" i="2" s="1"/>
  <c r="I54" i="2"/>
  <c r="J54" i="2" s="1"/>
  <c r="I52" i="2"/>
  <c r="J52" i="2" s="1"/>
  <c r="I43" i="2"/>
  <c r="J43" i="2" s="1"/>
  <c r="I57" i="2"/>
  <c r="J57" i="2" s="1"/>
  <c r="I44" i="2"/>
  <c r="J44" i="2" s="1"/>
  <c r="I60" i="2"/>
  <c r="J60" i="2" s="1"/>
  <c r="C78" i="2"/>
  <c r="C81" i="2" s="1"/>
  <c r="L42" i="2"/>
  <c r="K48" i="2"/>
  <c r="M48" i="2" s="1"/>
  <c r="K47" i="2"/>
  <c r="M47" i="2" s="1"/>
  <c r="K55" i="2"/>
  <c r="K57" i="2"/>
  <c r="M57" i="2" s="1"/>
  <c r="K45" i="2"/>
  <c r="M45" i="2" s="1"/>
  <c r="K52" i="2"/>
  <c r="M52" i="2" s="1"/>
  <c r="K61" i="2"/>
  <c r="K56" i="2"/>
  <c r="M56" i="2" s="1"/>
  <c r="K50" i="2"/>
  <c r="M50" i="2" s="1"/>
  <c r="K49" i="2"/>
  <c r="M49" i="2" s="1"/>
  <c r="K59" i="2"/>
  <c r="K44" i="2"/>
  <c r="M44" i="2" s="1"/>
  <c r="K58" i="2"/>
  <c r="M58" i="2" s="1"/>
  <c r="K46" i="2"/>
  <c r="M46" i="2" s="1"/>
  <c r="K62" i="2"/>
  <c r="M62" i="2" s="1"/>
  <c r="K43" i="2"/>
  <c r="M43" i="2" s="1"/>
  <c r="K53" i="2"/>
  <c r="M53" i="2" s="1"/>
  <c r="K42" i="2"/>
  <c r="M42" i="2" s="1"/>
  <c r="K51" i="2"/>
  <c r="M51" i="2" s="1"/>
  <c r="K54" i="2"/>
  <c r="M54" i="2" s="1"/>
  <c r="K60" i="2"/>
  <c r="M60" i="2" s="1"/>
  <c r="K63" i="2"/>
  <c r="M63" i="2" s="1"/>
  <c r="M55" i="2" l="1"/>
  <c r="N42" i="2"/>
  <c r="M59" i="2"/>
  <c r="N59" i="2" s="1"/>
  <c r="M61" i="2"/>
  <c r="N61" i="2" s="1"/>
  <c r="L69" i="2"/>
  <c r="G66" i="2"/>
  <c r="H66" i="2" s="1"/>
  <c r="I66" i="2" s="1"/>
  <c r="J66" i="2" s="1"/>
  <c r="A9" i="2"/>
  <c r="B46" i="2"/>
  <c r="I64" i="2"/>
  <c r="J64" i="2" s="1"/>
  <c r="N56" i="2"/>
  <c r="I67" i="2"/>
  <c r="J67" i="2" s="1"/>
  <c r="N63" i="2"/>
  <c r="N60" i="2"/>
  <c r="N57" i="2"/>
  <c r="N52" i="2"/>
  <c r="N51" i="2"/>
  <c r="N55" i="2"/>
  <c r="I65" i="2"/>
  <c r="J65" i="2" s="1"/>
  <c r="N43" i="2"/>
  <c r="N54" i="2"/>
  <c r="N48" i="2"/>
  <c r="N53" i="2"/>
  <c r="N45" i="2"/>
  <c r="N62" i="2"/>
  <c r="N44" i="2"/>
  <c r="N50" i="2"/>
  <c r="N47" i="2"/>
  <c r="N58" i="2"/>
  <c r="N46" i="2"/>
  <c r="N49" i="2"/>
  <c r="K66" i="2"/>
  <c r="K64" i="2"/>
  <c r="M64" i="2" s="1"/>
  <c r="K67" i="2"/>
  <c r="M67" i="2" s="1"/>
  <c r="K65" i="2"/>
  <c r="M65" i="2" s="1"/>
  <c r="M66" i="2" l="1"/>
  <c r="A10" i="2"/>
  <c r="B47" i="2"/>
  <c r="N67" i="2"/>
  <c r="N64" i="2"/>
  <c r="N65" i="2"/>
  <c r="N66" i="2"/>
  <c r="A11" i="2" l="1"/>
  <c r="B48" i="2"/>
  <c r="N69" i="2"/>
  <c r="L71" i="2" s="1"/>
  <c r="C82" i="2" s="1"/>
  <c r="C84" i="2" s="1"/>
  <c r="B10" i="3" s="1"/>
  <c r="A12" i="2" l="1"/>
  <c r="B49" i="2"/>
  <c r="B9" i="3"/>
  <c r="A13" i="2" l="1"/>
  <c r="B50" i="2"/>
  <c r="A14" i="2" l="1"/>
  <c r="B51" i="2"/>
  <c r="A15" i="2" l="1"/>
  <c r="B52" i="2"/>
  <c r="A16" i="2" l="1"/>
  <c r="B53" i="2"/>
  <c r="A17" i="2" l="1"/>
  <c r="B54" i="2"/>
  <c r="A18" i="2" l="1"/>
  <c r="B55" i="2"/>
  <c r="A19" i="2" l="1"/>
  <c r="B56" i="2"/>
  <c r="A20" i="2" l="1"/>
  <c r="B57" i="2"/>
  <c r="A21" i="2" l="1"/>
  <c r="B58" i="2"/>
  <c r="A22" i="2" l="1"/>
  <c r="B59" i="2"/>
  <c r="A23" i="2" l="1"/>
  <c r="B60" i="2"/>
  <c r="A24" i="2" l="1"/>
  <c r="B61" i="2"/>
  <c r="A25" i="2" l="1"/>
  <c r="B62" i="2"/>
  <c r="A26" i="2" l="1"/>
  <c r="B63" i="2"/>
  <c r="A27" i="2" l="1"/>
  <c r="B64" i="2"/>
  <c r="A28" i="2" l="1"/>
  <c r="B65" i="2"/>
  <c r="A29" i="2" l="1"/>
  <c r="B67" i="2" s="1"/>
  <c r="B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Chantzis</author>
  </authors>
  <commentList>
    <comment ref="D3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Chantzis: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<sst xmlns="http://schemas.openxmlformats.org/spreadsheetml/2006/main" count="119" uniqueCount="88">
  <si>
    <t>J</t>
  </si>
  <si>
    <t>Tj</t>
  </si>
  <si>
    <t>hj</t>
  </si>
  <si>
    <t>Σύμβολο</t>
  </si>
  <si>
    <t>Μονάδα</t>
  </si>
  <si>
    <t>Τιμή</t>
  </si>
  <si>
    <r>
      <rPr>
        <vertAlign val="superscript"/>
        <sz val="11"/>
        <color theme="1"/>
        <rFont val="Calibri"/>
      </rPr>
      <t>o</t>
    </r>
    <r>
      <rPr>
        <sz val="11"/>
        <color theme="1"/>
        <rFont val="Calibri"/>
      </rPr>
      <t>C</t>
    </r>
  </si>
  <si>
    <t>Δεδομένα μελέτης</t>
  </si>
  <si>
    <t>Εξωτερική θερμοκρασία σχεδιασμού</t>
  </si>
  <si>
    <t>Δεδομένα από κατασκευαστή</t>
  </si>
  <si>
    <t>kW</t>
  </si>
  <si>
    <t>Μερικό φορτίο (%)</t>
  </si>
  <si>
    <t>Δεδομένα λειτουργίας</t>
  </si>
  <si>
    <t>Χρόνος που η μονάδα βρισκόταν σε λειτουργία</t>
  </si>
  <si>
    <t>Χρόνος που η μονάδα βρισκόταν σε λειτουργία με κλειστό θερμοστάτη</t>
  </si>
  <si>
    <t>Χρόνος που η μονάδα βρισκόταν σε κατάσταση αναμονής</t>
  </si>
  <si>
    <t>Χρόνος με ανοικτό το θερμαντήρα στροφαλοθαλάμου (crankcase heater)</t>
  </si>
  <si>
    <t>Χρόνος που η μονάδα ήταν εκτός λειτουργίας</t>
  </si>
  <si>
    <t>Ισχύς εισόδου όταν η μονάδα βρίσκεται σε λειτουργία με κλειστό θερμοστάτη</t>
  </si>
  <si>
    <t>Ισχύς εισόδου όταν η μονάδα βρίσκεται σε κατάσταση αναμονής</t>
  </si>
  <si>
    <t>Ισχύς εισόδου θερμαντήρα στροφαλοθαλάμου (crankcase heater)</t>
  </si>
  <si>
    <t>Ισχύς εισόδου όταν η μονάδα βρίσκεται εκτός λειτουργίας</t>
  </si>
  <si>
    <r>
      <t>P</t>
    </r>
    <r>
      <rPr>
        <vertAlign val="subscript"/>
        <sz val="11"/>
        <color theme="1"/>
        <rFont val="Calibri"/>
        <family val="2"/>
        <scheme val="minor"/>
      </rPr>
      <t>TO</t>
    </r>
  </si>
  <si>
    <r>
      <t>P</t>
    </r>
    <r>
      <rPr>
        <vertAlign val="subscript"/>
        <sz val="11"/>
        <color theme="1"/>
        <rFont val="Calibri"/>
        <family val="2"/>
        <scheme val="minor"/>
      </rPr>
      <t>SB</t>
    </r>
  </si>
  <si>
    <r>
      <t>P</t>
    </r>
    <r>
      <rPr>
        <vertAlign val="subscript"/>
        <sz val="11"/>
        <color theme="1"/>
        <rFont val="Calibri"/>
        <family val="2"/>
        <scheme val="minor"/>
      </rPr>
      <t>CK</t>
    </r>
  </si>
  <si>
    <r>
      <t>P</t>
    </r>
    <r>
      <rPr>
        <vertAlign val="subscript"/>
        <sz val="11"/>
        <color theme="1"/>
        <rFont val="Calibri"/>
        <family val="2"/>
        <scheme val="minor"/>
      </rPr>
      <t>OFF</t>
    </r>
  </si>
  <si>
    <r>
      <t>H</t>
    </r>
    <r>
      <rPr>
        <vertAlign val="subscript"/>
        <sz val="11"/>
        <color theme="1"/>
        <rFont val="Calibri"/>
        <family val="2"/>
        <scheme val="minor"/>
      </rPr>
      <t>TO</t>
    </r>
  </si>
  <si>
    <r>
      <t>H</t>
    </r>
    <r>
      <rPr>
        <vertAlign val="subscript"/>
        <sz val="11"/>
        <color theme="1"/>
        <rFont val="Calibri"/>
        <family val="2"/>
        <scheme val="minor"/>
      </rPr>
      <t>SB</t>
    </r>
  </si>
  <si>
    <r>
      <t>H</t>
    </r>
    <r>
      <rPr>
        <vertAlign val="subscript"/>
        <sz val="11"/>
        <color theme="1"/>
        <rFont val="Calibri"/>
        <family val="2"/>
        <scheme val="minor"/>
      </rPr>
      <t>CK</t>
    </r>
  </si>
  <si>
    <r>
      <t>H</t>
    </r>
    <r>
      <rPr>
        <vertAlign val="subscript"/>
        <sz val="11"/>
        <color theme="1"/>
        <rFont val="Calibri"/>
        <family val="2"/>
        <scheme val="minor"/>
      </rPr>
      <t>OFF</t>
    </r>
  </si>
  <si>
    <t>h</t>
  </si>
  <si>
    <t>Τύπος μονάδας</t>
  </si>
  <si>
    <t>Α</t>
  </si>
  <si>
    <t>Β</t>
  </si>
  <si>
    <t>Γ</t>
  </si>
  <si>
    <t>Δ</t>
  </si>
  <si>
    <t>Μερικό φορτίο (kW)</t>
  </si>
  <si>
    <t>CR</t>
  </si>
  <si>
    <r>
      <t>Εξωτερική θερμοκρασία (</t>
    </r>
    <r>
      <rPr>
        <vertAlign val="superscript"/>
        <sz val="11"/>
        <color theme="1"/>
        <rFont val="Calibri"/>
        <family val="2"/>
        <scheme val="minor"/>
      </rPr>
      <t>ο</t>
    </r>
    <r>
      <rPr>
        <sz val="11"/>
        <color theme="1"/>
        <rFont val="Calibri"/>
        <family val="2"/>
        <scheme val="minor"/>
      </rPr>
      <t>C)</t>
    </r>
  </si>
  <si>
    <t>Sum</t>
  </si>
  <si>
    <t>kWh</t>
  </si>
  <si>
    <t>Αποτελέσματα</t>
  </si>
  <si>
    <t>Αρ. Ταυτότητας</t>
  </si>
  <si>
    <t>Ημερομηνία επιθεώρησης</t>
  </si>
  <si>
    <t>Όνομα επιθεωρητή</t>
  </si>
  <si>
    <t>Διεύθυνση</t>
  </si>
  <si>
    <t>Ταχ. κώδικας</t>
  </si>
  <si>
    <t>Τηλέφωνο</t>
  </si>
  <si>
    <t>Ε-mail</t>
  </si>
  <si>
    <t xml:space="preserve">Ταυτότητα συστήματος </t>
  </si>
  <si>
    <t>Κλιματιζόμενη επιφάνεια</t>
  </si>
  <si>
    <t>ΘΕΡΜΟΚΡΑΣΊΕΣ</t>
  </si>
  <si>
    <t>ΔΕΔΟΜΕΝΑ</t>
  </si>
  <si>
    <t>Ονοματεπώνυμων Ιδιοκτήτη</t>
  </si>
  <si>
    <t>Κατηγορία κτιρίου</t>
  </si>
  <si>
    <t>Χαρακτηριστικά κτιρίου</t>
  </si>
  <si>
    <t>Μονάδες αέρα - αέρα ή νερού - αέρα</t>
  </si>
  <si>
    <t>Αέρα-νερού ή νερού-νερού</t>
  </si>
  <si>
    <t>Υπολογισμός SCOP</t>
  </si>
  <si>
    <r>
      <t>H</t>
    </r>
    <r>
      <rPr>
        <vertAlign val="subscript"/>
        <sz val="11"/>
        <color theme="1"/>
        <rFont val="Calibri"/>
        <family val="2"/>
        <charset val="161"/>
        <scheme val="minor"/>
      </rPr>
      <t>HE</t>
    </r>
  </si>
  <si>
    <r>
      <t>P</t>
    </r>
    <r>
      <rPr>
        <vertAlign val="subscript"/>
        <sz val="11"/>
        <color theme="1"/>
        <rFont val="Franklin Gothic Book"/>
        <family val="2"/>
      </rPr>
      <t>designh</t>
    </r>
  </si>
  <si>
    <r>
      <t>T</t>
    </r>
    <r>
      <rPr>
        <vertAlign val="subscript"/>
        <sz val="11"/>
        <color theme="1"/>
        <rFont val="Franklin Gothic Book"/>
        <family val="2"/>
      </rPr>
      <t>designh</t>
    </r>
  </si>
  <si>
    <r>
      <t>Q</t>
    </r>
    <r>
      <rPr>
        <vertAlign val="subscript"/>
        <sz val="11"/>
        <color theme="1"/>
        <rFont val="Calibri"/>
        <family val="2"/>
        <charset val="161"/>
        <scheme val="minor"/>
      </rPr>
      <t>H</t>
    </r>
  </si>
  <si>
    <r>
      <t>Q</t>
    </r>
    <r>
      <rPr>
        <vertAlign val="subscript"/>
        <sz val="11"/>
        <color theme="1"/>
        <rFont val="Calibri"/>
        <family val="2"/>
        <charset val="161"/>
        <scheme val="minor"/>
      </rPr>
      <t>HE</t>
    </r>
  </si>
  <si>
    <t>Θερμικό φορτίο σε συνθήκες σχεδιασμού</t>
  </si>
  <si>
    <t>Δηλωμένη θερμική ισχύς Pdc (kW)</t>
  </si>
  <si>
    <r>
      <t>Δηλωμένος βαθμός ενεργειακής απόδοσης σε λειτουργία θέρμανσης σε μερικό φορτίο, COP</t>
    </r>
    <r>
      <rPr>
        <vertAlign val="subscript"/>
        <sz val="11"/>
        <color theme="1"/>
        <rFont val="Calibri"/>
        <family val="2"/>
        <charset val="161"/>
        <scheme val="minor"/>
      </rPr>
      <t>d</t>
    </r>
  </si>
  <si>
    <t>TOL</t>
  </si>
  <si>
    <t>Tbiv</t>
  </si>
  <si>
    <t>Cd</t>
  </si>
  <si>
    <t>Όλοι οι υπόλοιποι τύποι μονάδων</t>
  </si>
  <si>
    <t>Pdh</t>
  </si>
  <si>
    <t>COPd</t>
  </si>
  <si>
    <t>COPbin</t>
  </si>
  <si>
    <t>Annual cooling load (kWh)</t>
  </si>
  <si>
    <t>Heating load (kW)</t>
  </si>
  <si>
    <t>Suplementary heater capacity (kW)</t>
  </si>
  <si>
    <t>Annual suplementary heater consumption (kWh)</t>
  </si>
  <si>
    <t>Heating Load Heat Pump Capacity (kW)</t>
  </si>
  <si>
    <t>Heating load covered by heat pump (kW)</t>
  </si>
  <si>
    <t>Annual heat pump consumption (kWh)</t>
  </si>
  <si>
    <t>Annual total electricity consumption (kWh)</t>
  </si>
  <si>
    <r>
      <t>Εξωτερική θερμοκρασία αέρα (</t>
    </r>
    <r>
      <rPr>
        <b/>
        <vertAlign val="superscript"/>
        <sz val="11"/>
        <color theme="1"/>
        <rFont val="Calibri"/>
        <family val="2"/>
        <charset val="161"/>
        <scheme val="minor"/>
      </rPr>
      <t>o</t>
    </r>
    <r>
      <rPr>
        <b/>
        <sz val="11"/>
        <color theme="1"/>
        <rFont val="Calibri"/>
        <family val="2"/>
        <charset val="161"/>
        <scheme val="minor"/>
      </rPr>
      <t>C)</t>
    </r>
  </si>
  <si>
    <r>
      <t>ΥΠΟΛΟΓΙΣΜΟΣ SCOP</t>
    </r>
    <r>
      <rPr>
        <b/>
        <vertAlign val="subscript"/>
        <sz val="14"/>
        <color theme="1"/>
        <rFont val="Calibri"/>
        <family val="2"/>
        <charset val="161"/>
        <scheme val="minor"/>
      </rPr>
      <t>on</t>
    </r>
  </si>
  <si>
    <t>SCOP</t>
  </si>
  <si>
    <r>
      <t>SCOP</t>
    </r>
    <r>
      <rPr>
        <b/>
        <vertAlign val="subscript"/>
        <sz val="14"/>
        <color theme="1"/>
        <rFont val="Calibri"/>
        <family val="2"/>
        <charset val="161"/>
        <scheme val="minor"/>
      </rPr>
      <t>on</t>
    </r>
  </si>
  <si>
    <r>
      <t>Υπολογισμός Q</t>
    </r>
    <r>
      <rPr>
        <vertAlign val="subscript"/>
        <sz val="11"/>
        <color theme="1"/>
        <rFont val="Calibri"/>
        <family val="2"/>
        <charset val="161"/>
        <scheme val="minor"/>
      </rPr>
      <t>H</t>
    </r>
  </si>
  <si>
    <r>
      <t>SCOP</t>
    </r>
    <r>
      <rPr>
        <b/>
        <vertAlign val="subscript"/>
        <sz val="11"/>
        <color theme="1"/>
        <rFont val="Calibri"/>
        <family val="2"/>
      </rPr>
      <t>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</si>
</sst>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u/>
      <sz val="11"/>
      <color theme="1"/>
      <name val="Calibri"/>
    </font>
    <font>
      <sz val="11"/>
      <name val="Arial"/>
    </font>
    <font>
      <sz val="11"/>
      <color theme="1"/>
      <name val="Calibri"/>
    </font>
    <font>
      <vertAlign val="superscript"/>
      <sz val="11"/>
      <color theme="1"/>
      <name val="Calibri"/>
    </font>
    <font>
      <sz val="11"/>
      <color theme="1"/>
      <name val="Calibri"/>
      <family val="2"/>
    </font>
    <font>
      <sz val="11"/>
      <color theme="1"/>
      <name val="Franklin Gothic Book"/>
      <family val="2"/>
    </font>
    <font>
      <vertAlign val="subscript"/>
      <sz val="11"/>
      <color theme="1"/>
      <name val="Franklin Gothic Book"/>
      <family val="2"/>
    </font>
    <font>
      <vertAlign val="subscript"/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vertAlign val="superscript"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vertAlign val="subscript"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4" fillId="0" borderId="0"/>
    <xf numFmtId="9" fontId="16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5" borderId="0" xfId="0" applyFill="1"/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8" xfId="2" applyFont="1" applyBorder="1" applyAlignment="1">
      <alignment horizontal="left" vertical="center" wrapText="1"/>
    </xf>
    <xf numFmtId="0" fontId="6" fillId="0" borderId="20" xfId="2" applyFont="1" applyBorder="1" applyAlignment="1">
      <alignment horizontal="left" vertical="center" wrapText="1"/>
    </xf>
    <xf numFmtId="0" fontId="6" fillId="0" borderId="21" xfId="2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4" borderId="0" xfId="0" applyFill="1"/>
    <xf numFmtId="9" fontId="0" fillId="0" borderId="0" xfId="3" applyFont="1"/>
    <xf numFmtId="0" fontId="7" fillId="6" borderId="32" xfId="0" applyFont="1" applyFill="1" applyBorder="1" applyAlignment="1">
      <alignment horizontal="center" vertical="center" wrapText="1"/>
    </xf>
    <xf numFmtId="0" fontId="4" fillId="6" borderId="33" xfId="1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 wrapText="1"/>
    </xf>
    <xf numFmtId="0" fontId="4" fillId="6" borderId="36" xfId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19" fillId="6" borderId="38" xfId="0" applyFont="1" applyFill="1" applyBorder="1" applyAlignment="1">
      <alignment horizontal="center" vertical="center"/>
    </xf>
    <xf numFmtId="0" fontId="3" fillId="0" borderId="0" xfId="1" applyFont="1"/>
    <xf numFmtId="0" fontId="3" fillId="0" borderId="19" xfId="1" applyFont="1" applyBorder="1"/>
    <xf numFmtId="0" fontId="11" fillId="0" borderId="1" xfId="1" applyFont="1" applyBorder="1"/>
    <xf numFmtId="0" fontId="4" fillId="0" borderId="26" xfId="1" applyFont="1" applyBorder="1" applyAlignment="1">
      <alignment horizontal="left"/>
    </xf>
    <xf numFmtId="0" fontId="4" fillId="0" borderId="26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6" fillId="0" borderId="31" xfId="1" applyFont="1" applyBorder="1" applyAlignment="1">
      <alignment wrapText="1"/>
    </xf>
    <xf numFmtId="0" fontId="4" fillId="0" borderId="32" xfId="1" applyFont="1" applyBorder="1" applyAlignment="1">
      <alignment horizontal="center" vertical="center"/>
    </xf>
    <xf numFmtId="0" fontId="6" fillId="0" borderId="34" xfId="1" applyFont="1" applyBorder="1" applyAlignment="1">
      <alignment wrapText="1"/>
    </xf>
    <xf numFmtId="0" fontId="4" fillId="0" borderId="35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31" xfId="1" applyFont="1" applyBorder="1" applyAlignment="1">
      <alignment horizontal="left"/>
    </xf>
    <xf numFmtId="0" fontId="4" fillId="0" borderId="32" xfId="1" applyFont="1" applyBorder="1" applyAlignment="1">
      <alignment horizontal="center"/>
    </xf>
    <xf numFmtId="0" fontId="4" fillId="0" borderId="33" xfId="1" applyFont="1" applyBorder="1" applyAlignment="1">
      <alignment horizontal="center"/>
    </xf>
    <xf numFmtId="0" fontId="0" fillId="0" borderId="37" xfId="0" applyBorder="1" applyAlignment="1">
      <alignment horizontal="left" vertical="center" wrapText="1"/>
    </xf>
    <xf numFmtId="0" fontId="7" fillId="0" borderId="34" xfId="0" applyFont="1" applyBorder="1" applyAlignment="1">
      <alignment horizontal="left" wrapText="1"/>
    </xf>
    <xf numFmtId="0" fontId="0" fillId="0" borderId="37" xfId="0" applyBorder="1" applyAlignment="1">
      <alignment wrapText="1"/>
    </xf>
    <xf numFmtId="0" fontId="7" fillId="0" borderId="37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0" fillId="0" borderId="41" xfId="0" applyBorder="1" applyAlignment="1">
      <alignment horizontal="center" vertical="center" wrapText="1"/>
    </xf>
    <xf numFmtId="0" fontId="0" fillId="0" borderId="54" xfId="0" applyBorder="1"/>
    <xf numFmtId="0" fontId="0" fillId="0" borderId="7" xfId="0" applyBorder="1"/>
    <xf numFmtId="164" fontId="0" fillId="0" borderId="7" xfId="0" applyNumberFormat="1" applyBorder="1"/>
    <xf numFmtId="2" fontId="0" fillId="0" borderId="7" xfId="0" applyNumberFormat="1" applyBorder="1"/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1" fillId="0" borderId="5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0" fillId="0" borderId="60" xfId="0" applyBorder="1"/>
    <xf numFmtId="0" fontId="0" fillId="0" borderId="44" xfId="0" applyBorder="1"/>
    <xf numFmtId="2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7" borderId="7" xfId="0" applyFont="1" applyFill="1" applyBorder="1"/>
    <xf numFmtId="0" fontId="23" fillId="7" borderId="7" xfId="0" applyFont="1" applyFill="1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7" fillId="0" borderId="37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0" fillId="0" borderId="34" xfId="0" applyBorder="1"/>
    <xf numFmtId="0" fontId="0" fillId="0" borderId="35" xfId="0" applyBorder="1"/>
    <xf numFmtId="0" fontId="0" fillId="8" borderId="43" xfId="0" applyFill="1" applyBorder="1"/>
    <xf numFmtId="0" fontId="0" fillId="8" borderId="44" xfId="0" applyFill="1" applyBorder="1"/>
    <xf numFmtId="0" fontId="0" fillId="8" borderId="45" xfId="0" applyFill="1" applyBorder="1" applyAlignment="1">
      <alignment horizontal="center" vertical="center"/>
    </xf>
    <xf numFmtId="0" fontId="0" fillId="8" borderId="37" xfId="0" applyFill="1" applyBorder="1"/>
    <xf numFmtId="0" fontId="0" fillId="8" borderId="7" xfId="0" applyFill="1" applyBorder="1"/>
    <xf numFmtId="0" fontId="0" fillId="8" borderId="38" xfId="0" applyFill="1" applyBorder="1" applyAlignment="1">
      <alignment horizontal="center" vertical="center"/>
    </xf>
    <xf numFmtId="0" fontId="0" fillId="8" borderId="38" xfId="0" applyFill="1" applyBorder="1"/>
    <xf numFmtId="0" fontId="23" fillId="8" borderId="34" xfId="0" applyFont="1" applyFill="1" applyBorder="1"/>
    <xf numFmtId="0" fontId="25" fillId="3" borderId="18" xfId="2" applyFont="1" applyFill="1" applyBorder="1" applyAlignment="1">
      <alignment horizontal="left" vertical="center" wrapText="1"/>
    </xf>
    <xf numFmtId="0" fontId="25" fillId="3" borderId="23" xfId="2" applyFont="1" applyFill="1" applyBorder="1" applyAlignment="1">
      <alignment horizontal="left" vertical="center" wrapText="1"/>
    </xf>
    <xf numFmtId="0" fontId="12" fillId="0" borderId="49" xfId="1" applyFont="1" applyBorder="1" applyAlignment="1">
      <alignment horizontal="center"/>
    </xf>
    <xf numFmtId="0" fontId="12" fillId="0" borderId="50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0" fontId="3" fillId="0" borderId="13" xfId="1" applyFont="1" applyBorder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3" fillId="8" borderId="51" xfId="0" applyFont="1" applyFill="1" applyBorder="1" applyAlignment="1">
      <alignment horizontal="center"/>
    </xf>
    <xf numFmtId="0" fontId="23" fillId="8" borderId="52" xfId="0" applyFont="1" applyFill="1" applyBorder="1" applyAlignment="1">
      <alignment horizontal="center"/>
    </xf>
    <xf numFmtId="0" fontId="23" fillId="8" borderId="53" xfId="0" applyFont="1" applyFill="1" applyBorder="1" applyAlignment="1">
      <alignment horizontal="center"/>
    </xf>
    <xf numFmtId="0" fontId="23" fillId="8" borderId="46" xfId="0" applyFont="1" applyFill="1" applyBorder="1" applyAlignment="1">
      <alignment horizontal="center"/>
    </xf>
    <xf numFmtId="0" fontId="23" fillId="8" borderId="47" xfId="0" applyFont="1" applyFill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23" fillId="0" borderId="0" xfId="0" applyFont="1" applyAlignment="1">
      <alignment horizontal="center"/>
    </xf>
    <xf numFmtId="0" fontId="7" fillId="0" borderId="43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25" fillId="3" borderId="22" xfId="2" applyFont="1" applyFill="1" applyBorder="1" applyAlignment="1">
      <alignment horizontal="center" vertical="center"/>
    </xf>
    <xf numFmtId="0" fontId="27" fillId="0" borderId="24" xfId="2" applyFont="1" applyBorder="1"/>
    <xf numFmtId="0" fontId="27" fillId="0" borderId="25" xfId="2" applyFont="1" applyBorder="1"/>
    <xf numFmtId="0" fontId="25" fillId="3" borderId="27" xfId="2" applyFont="1" applyFill="1" applyBorder="1" applyAlignment="1">
      <alignment horizontal="center" vertical="center"/>
    </xf>
    <xf numFmtId="0" fontId="27" fillId="0" borderId="28" xfId="2" applyFont="1" applyBorder="1"/>
    <xf numFmtId="0" fontId="27" fillId="0" borderId="29" xfId="2" applyFont="1" applyBorder="1"/>
    <xf numFmtId="0" fontId="15" fillId="2" borderId="8" xfId="2" applyFont="1" applyFill="1" applyBorder="1" applyAlignment="1">
      <alignment horizontal="center" vertical="center"/>
    </xf>
    <xf numFmtId="0" fontId="10" fillId="0" borderId="9" xfId="2" applyFont="1" applyBorder="1"/>
    <xf numFmtId="0" fontId="10" fillId="0" borderId="10" xfId="2" applyFont="1" applyBorder="1"/>
    <xf numFmtId="0" fontId="10" fillId="0" borderId="16" xfId="2" applyFont="1" applyBorder="1"/>
    <xf numFmtId="0" fontId="10" fillId="0" borderId="0" xfId="2" applyFont="1"/>
    <xf numFmtId="0" fontId="10" fillId="0" borderId="19" xfId="2" applyFont="1" applyBorder="1"/>
  </cellXfs>
  <cellStyles count="4">
    <cellStyle name="Normal" xfId="0" builtinId="0"/>
    <cellStyle name="Normal 2" xfId="1" xr:uid="{00000000-0005-0000-0000-000000000000}"/>
    <cellStyle name="Normal 3" xfId="2" xr:uid="{00000000-0005-0000-0000-000001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INPUT!$A$28:$B$32</c:f>
              <c:multiLvlStrCache>
                <c:ptCount val="5"/>
                <c:lvl>
                  <c:pt idx="0">
                    <c:v>HHE</c:v>
                  </c:pt>
                  <c:pt idx="1">
                    <c:v>HTO</c:v>
                  </c:pt>
                  <c:pt idx="2">
                    <c:v>HSB</c:v>
                  </c:pt>
                  <c:pt idx="3">
                    <c:v>HCK</c:v>
                  </c:pt>
                  <c:pt idx="4">
                    <c:v>HOFF</c:v>
                  </c:pt>
                </c:lvl>
                <c:lvl>
                  <c:pt idx="0">
                    <c:v>Χρόνος που η μονάδα βρισκόταν σε λειτουργία</c:v>
                  </c:pt>
                  <c:pt idx="1">
                    <c:v>Χρόνος που η μονάδα βρισκόταν σε λειτουργία με κλειστό θερμοστάτη</c:v>
                  </c:pt>
                  <c:pt idx="2">
                    <c:v>Χρόνος που η μονάδα βρισκόταν σε κατάσταση αναμονής</c:v>
                  </c:pt>
                  <c:pt idx="3">
                    <c:v>Χρόνος με ανοικτό το θερμαντήρα στροφαλοθαλάμου (crankcase heater)</c:v>
                  </c:pt>
                  <c:pt idx="4">
                    <c:v>Χρόνος που η μονάδα ήταν εκτός λειτουργίας</c:v>
                  </c:pt>
                </c:lvl>
              </c:multiLvlStrCache>
            </c:multiLvlStrRef>
          </c:cat>
          <c:val>
            <c:numRef>
              <c:f>INPUT!$D$28:$D$32</c:f>
              <c:numCache>
                <c:formatCode>General</c:formatCode>
                <c:ptCount val="5"/>
                <c:pt idx="0">
                  <c:v>1400</c:v>
                </c:pt>
                <c:pt idx="1">
                  <c:v>179</c:v>
                </c:pt>
                <c:pt idx="2">
                  <c:v>0</c:v>
                </c:pt>
                <c:pt idx="3">
                  <c:v>179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4-4353-8E24-6E54BFBF8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INPUT!$C$13</c:f>
              <c:strCache>
                <c:ptCount val="1"/>
                <c:pt idx="0">
                  <c:v>Δηλωμένη θερμική ισχύς Pdc (kW)</c:v>
                </c:pt>
              </c:strCache>
            </c:strRef>
          </c:tx>
          <c:spPr>
            <a:ln w="28575">
              <a:noFill/>
            </a:ln>
          </c:spPr>
          <c:xVal>
            <c:numRef>
              <c:f>INPUT!$A$14:$A$19</c:f>
              <c:numCache>
                <c:formatCode>General</c:formatCode>
                <c:ptCount val="6"/>
                <c:pt idx="0">
                  <c:v>-7</c:v>
                </c:pt>
                <c:pt idx="1">
                  <c:v>2</c:v>
                </c:pt>
                <c:pt idx="2">
                  <c:v>7</c:v>
                </c:pt>
                <c:pt idx="3">
                  <c:v>12</c:v>
                </c:pt>
                <c:pt idx="4">
                  <c:v>-10</c:v>
                </c:pt>
                <c:pt idx="5">
                  <c:v>-6</c:v>
                </c:pt>
              </c:numCache>
            </c:numRef>
          </c:xVal>
          <c:yVal>
            <c:numRef>
              <c:f>INPUT!$C$14:$C$19</c:f>
              <c:numCache>
                <c:formatCode>General</c:formatCode>
                <c:ptCount val="6"/>
                <c:pt idx="0">
                  <c:v>9.5500000000000007</c:v>
                </c:pt>
                <c:pt idx="1">
                  <c:v>11.17</c:v>
                </c:pt>
                <c:pt idx="2">
                  <c:v>12.66</c:v>
                </c:pt>
                <c:pt idx="3">
                  <c:v>14.3</c:v>
                </c:pt>
                <c:pt idx="4">
                  <c:v>7.8</c:v>
                </c:pt>
                <c:pt idx="5">
                  <c:v>9.6999999999999993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8C-4ACE-A563-079367D6106D}"/>
            </c:ext>
          </c:extLst>
        </c:ser>
        <c:ser>
          <c:idx val="2"/>
          <c:order val="2"/>
          <c:tx>
            <c:strRef>
              <c:f>INPUT!$D$13</c:f>
              <c:strCache>
                <c:ptCount val="1"/>
                <c:pt idx="0">
                  <c:v>Δηλωμένος βαθμός ενεργειακής απόδοσης σε λειτουργία θέρμανσης σε μερικό φορτίο, COPd</c:v>
                </c:pt>
              </c:strCache>
            </c:strRef>
          </c:tx>
          <c:spPr>
            <a:ln w="28575">
              <a:noFill/>
            </a:ln>
          </c:spPr>
          <c:xVal>
            <c:numRef>
              <c:f>INPUT!$A$14:$A$19</c:f>
              <c:numCache>
                <c:formatCode>General</c:formatCode>
                <c:ptCount val="6"/>
                <c:pt idx="0">
                  <c:v>-7</c:v>
                </c:pt>
                <c:pt idx="1">
                  <c:v>2</c:v>
                </c:pt>
                <c:pt idx="2">
                  <c:v>7</c:v>
                </c:pt>
                <c:pt idx="3">
                  <c:v>12</c:v>
                </c:pt>
                <c:pt idx="4">
                  <c:v>-10</c:v>
                </c:pt>
                <c:pt idx="5">
                  <c:v>-6</c:v>
                </c:pt>
              </c:numCache>
            </c:numRef>
          </c:xVal>
          <c:yVal>
            <c:numRef>
              <c:f>INPUT!$D$14:$D$19</c:f>
              <c:numCache>
                <c:formatCode>General</c:formatCode>
                <c:ptCount val="6"/>
                <c:pt idx="0">
                  <c:v>3.26</c:v>
                </c:pt>
                <c:pt idx="1">
                  <c:v>4</c:v>
                </c:pt>
                <c:pt idx="2">
                  <c:v>4.91</c:v>
                </c:pt>
                <c:pt idx="3">
                  <c:v>5.5</c:v>
                </c:pt>
                <c:pt idx="4">
                  <c:v>2.6</c:v>
                </c:pt>
                <c:pt idx="5">
                  <c:v>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8C-4ACE-A563-079367D61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91936"/>
        <c:axId val="195193472"/>
      </c:scatterChart>
      <c:scatterChart>
        <c:scatterStyle val="lineMarker"/>
        <c:varyColors val="0"/>
        <c:ser>
          <c:idx val="0"/>
          <c:order val="0"/>
          <c:tx>
            <c:strRef>
              <c:f>INPUT!$B$13</c:f>
              <c:strCache>
                <c:ptCount val="1"/>
                <c:pt idx="0">
                  <c:v>Μερικό φορτίο (%)</c:v>
                </c:pt>
              </c:strCache>
            </c:strRef>
          </c:tx>
          <c:spPr>
            <a:ln w="28575">
              <a:noFill/>
            </a:ln>
          </c:spPr>
          <c:xVal>
            <c:numRef>
              <c:f>INPUT!$A$14:$A$19</c:f>
              <c:numCache>
                <c:formatCode>General</c:formatCode>
                <c:ptCount val="6"/>
                <c:pt idx="0">
                  <c:v>-7</c:v>
                </c:pt>
                <c:pt idx="1">
                  <c:v>2</c:v>
                </c:pt>
                <c:pt idx="2">
                  <c:v>7</c:v>
                </c:pt>
                <c:pt idx="3">
                  <c:v>12</c:v>
                </c:pt>
                <c:pt idx="4">
                  <c:v>-10</c:v>
                </c:pt>
                <c:pt idx="5">
                  <c:v>-6</c:v>
                </c:pt>
              </c:numCache>
            </c:numRef>
          </c:xVal>
          <c:yVal>
            <c:numRef>
              <c:f>INPUT!$B$14:$B$19</c:f>
              <c:numCache>
                <c:formatCode>0.00</c:formatCode>
                <c:ptCount val="6"/>
                <c:pt idx="0">
                  <c:v>88.461538461538467</c:v>
                </c:pt>
                <c:pt idx="1">
                  <c:v>53.85</c:v>
                </c:pt>
                <c:pt idx="2" formatCode="General">
                  <c:v>34.619999999999997</c:v>
                </c:pt>
                <c:pt idx="3" formatCode="General">
                  <c:v>15.38</c:v>
                </c:pt>
                <c:pt idx="4" formatCode="General">
                  <c:v>100</c:v>
                </c:pt>
                <c:pt idx="5" formatCode="General">
                  <c:v>84.62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8C-4ACE-A563-079367D61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204992"/>
        <c:axId val="195203456"/>
      </c:scatterChart>
      <c:valAx>
        <c:axId val="19519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193472"/>
        <c:crosses val="autoZero"/>
        <c:crossBetween val="midCat"/>
      </c:valAx>
      <c:valAx>
        <c:axId val="195193472"/>
        <c:scaling>
          <c:orientation val="minMax"/>
          <c:max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191936"/>
        <c:crosses val="autoZero"/>
        <c:crossBetween val="midCat"/>
      </c:valAx>
      <c:valAx>
        <c:axId val="19520345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195204992"/>
        <c:crosses val="max"/>
        <c:crossBetween val="midCat"/>
      </c:valAx>
      <c:valAx>
        <c:axId val="195204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203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INPUT!$A$22:$C$25</c:f>
              <c:multiLvlStrCache>
                <c:ptCount val="4"/>
                <c:lvl>
                  <c:pt idx="0">
                    <c:v>kW</c:v>
                  </c:pt>
                  <c:pt idx="1">
                    <c:v>kW</c:v>
                  </c:pt>
                  <c:pt idx="2">
                    <c:v>kW</c:v>
                  </c:pt>
                  <c:pt idx="3">
                    <c:v>kW</c:v>
                  </c:pt>
                </c:lvl>
                <c:lvl>
                  <c:pt idx="0">
                    <c:v>PTO</c:v>
                  </c:pt>
                  <c:pt idx="1">
                    <c:v>PSB</c:v>
                  </c:pt>
                  <c:pt idx="2">
                    <c:v>PCK</c:v>
                  </c:pt>
                  <c:pt idx="3">
                    <c:v>POFF</c:v>
                  </c:pt>
                </c:lvl>
                <c:lvl>
                  <c:pt idx="0">
                    <c:v>Ισχύς εισόδου όταν η μονάδα βρίσκεται σε λειτουργία με κλειστό θερμοστάτη</c:v>
                  </c:pt>
                  <c:pt idx="1">
                    <c:v>Ισχύς εισόδου όταν η μονάδα βρίσκεται σε κατάσταση αναμονής</c:v>
                  </c:pt>
                  <c:pt idx="2">
                    <c:v>Ισχύς εισόδου θερμαντήρα στροφαλοθαλάμου (crankcase heater)</c:v>
                  </c:pt>
                  <c:pt idx="3">
                    <c:v>Ισχύς εισόδου όταν η μονάδα βρίσκεται εκτός λειτουργίας</c:v>
                  </c:pt>
                </c:lvl>
              </c:multiLvlStrCache>
            </c:multiLvlStrRef>
          </c:cat>
          <c:val>
            <c:numRef>
              <c:f>INPUT!$D$22:$D$25</c:f>
              <c:numCache>
                <c:formatCode>General</c:formatCode>
                <c:ptCount val="4"/>
                <c:pt idx="0">
                  <c:v>4.9000000000000002E-2</c:v>
                </c:pt>
                <c:pt idx="1">
                  <c:v>1.2999999999999999E-2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C-4103-BA8D-BB7E64933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95424"/>
        <c:axId val="195496960"/>
      </c:barChart>
      <c:catAx>
        <c:axId val="19549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496960"/>
        <c:crosses val="autoZero"/>
        <c:auto val="1"/>
        <c:lblAlgn val="ctr"/>
        <c:lblOffset val="100"/>
        <c:noMultiLvlLbl val="0"/>
      </c:catAx>
      <c:valAx>
        <c:axId val="19549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495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CALCULATIONS!$C$3</c:f>
              <c:strCache>
                <c:ptCount val="1"/>
                <c:pt idx="0">
                  <c:v>hj</c:v>
                </c:pt>
              </c:strCache>
            </c:strRef>
          </c:tx>
          <c:invertIfNegative val="0"/>
          <c:cat>
            <c:numRef>
              <c:f>CALCULATIONS!$B$4:$B$29</c:f>
              <c:numCache>
                <c:formatCode>General</c:formatCode>
                <c:ptCount val="2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</c:numCache>
            </c:numRef>
          </c:cat>
          <c:val>
            <c:numRef>
              <c:f>CALCULATIONS!$C$4:$C$29</c:f>
              <c:numCache>
                <c:formatCode>General</c:formatCode>
                <c:ptCount val="26"/>
                <c:pt idx="0">
                  <c:v>1</c:v>
                </c:pt>
                <c:pt idx="1">
                  <c:v>25</c:v>
                </c:pt>
                <c:pt idx="2">
                  <c:v>23</c:v>
                </c:pt>
                <c:pt idx="3">
                  <c:v>24</c:v>
                </c:pt>
                <c:pt idx="4">
                  <c:v>27</c:v>
                </c:pt>
                <c:pt idx="5">
                  <c:v>68</c:v>
                </c:pt>
                <c:pt idx="6">
                  <c:v>91</c:v>
                </c:pt>
                <c:pt idx="7">
                  <c:v>89</c:v>
                </c:pt>
                <c:pt idx="8">
                  <c:v>165</c:v>
                </c:pt>
                <c:pt idx="9">
                  <c:v>173</c:v>
                </c:pt>
                <c:pt idx="10">
                  <c:v>240</c:v>
                </c:pt>
                <c:pt idx="11">
                  <c:v>280</c:v>
                </c:pt>
                <c:pt idx="12">
                  <c:v>320</c:v>
                </c:pt>
                <c:pt idx="13">
                  <c:v>357</c:v>
                </c:pt>
                <c:pt idx="14">
                  <c:v>356</c:v>
                </c:pt>
                <c:pt idx="15">
                  <c:v>303</c:v>
                </c:pt>
                <c:pt idx="16">
                  <c:v>330</c:v>
                </c:pt>
                <c:pt idx="17">
                  <c:v>326</c:v>
                </c:pt>
                <c:pt idx="18">
                  <c:v>348</c:v>
                </c:pt>
                <c:pt idx="19">
                  <c:v>335</c:v>
                </c:pt>
                <c:pt idx="20">
                  <c:v>315</c:v>
                </c:pt>
                <c:pt idx="21">
                  <c:v>215</c:v>
                </c:pt>
                <c:pt idx="22">
                  <c:v>169</c:v>
                </c:pt>
                <c:pt idx="23">
                  <c:v>151</c:v>
                </c:pt>
                <c:pt idx="24">
                  <c:v>105</c:v>
                </c:pt>
                <c:pt idx="2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01F-87F6-002711A56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004096"/>
        <c:axId val="194005632"/>
      </c:barChart>
      <c:catAx>
        <c:axId val="19400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005632"/>
        <c:crosses val="autoZero"/>
        <c:auto val="1"/>
        <c:lblAlgn val="ctr"/>
        <c:lblOffset val="100"/>
        <c:noMultiLvlLbl val="0"/>
      </c:catAx>
      <c:valAx>
        <c:axId val="19400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004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280146</xdr:colOff>
      <xdr:row>27</xdr:row>
      <xdr:rowOff>331694</xdr:rowOff>
    </xdr:from>
    <xdr:to>
      <xdr:col>14</xdr:col>
      <xdr:colOff>313764</xdr:colOff>
      <xdr:row>33</xdr:row>
      <xdr:rowOff>168088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470647</xdr:colOff>
      <xdr:row>5</xdr:row>
      <xdr:rowOff>85162</xdr:rowOff>
    </xdr:from>
    <xdr:to>
      <xdr:col>15</xdr:col>
      <xdr:colOff>134470</xdr:colOff>
      <xdr:row>17</xdr:row>
      <xdr:rowOff>201705</xdr:rowOff>
    </xdr:to>
    <xdr:graphicFrame macro="">
      <xdr:nvGraphicFramePr>
        <xdr:cNvPr id="11" name="Γράφημα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302559</xdr:colOff>
      <xdr:row>19</xdr:row>
      <xdr:rowOff>51547</xdr:rowOff>
    </xdr:from>
    <xdr:to>
      <xdr:col>15</xdr:col>
      <xdr:colOff>22412</xdr:colOff>
      <xdr:row>27</xdr:row>
      <xdr:rowOff>11206</xdr:rowOff>
    </xdr:to>
    <xdr:graphicFrame macro="">
      <xdr:nvGraphicFramePr>
        <xdr:cNvPr id="12" name="Γράφημα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156881</xdr:colOff>
      <xdr:row>10</xdr:row>
      <xdr:rowOff>22411</xdr:rowOff>
    </xdr:from>
    <xdr:to>
      <xdr:col>11</xdr:col>
      <xdr:colOff>493059</xdr:colOff>
      <xdr:row>27</xdr:row>
      <xdr:rowOff>145676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515470</xdr:colOff>
      <xdr:row>32</xdr:row>
      <xdr:rowOff>190500</xdr:rowOff>
    </xdr:from>
    <xdr:to>
      <xdr:col>13</xdr:col>
      <xdr:colOff>134470</xdr:colOff>
      <xdr:row>36</xdr:row>
      <xdr:rowOff>89647</xdr:rowOff>
    </xdr:to>
    <xdr:sp macro="[0]!ΤΑΞΙΝΟΜΗΣΗ_ΑΥΞΟΥΣΑ" textlink="">
      <xdr:nvSpPr>
        <xdr:cNvPr id="4" name="Ορθογώνι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597588" y="6409765"/>
          <a:ext cx="2745441" cy="10757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l-GR" sz="1800"/>
            <a:t>ΦΘΙΝΟΥΣΑ ΤΑΞΙΝΟΜΗΣΗ</a:t>
          </a:r>
          <a:r>
            <a:rPr lang="en-US" sz="1800"/>
            <a:t> RUN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2">
    <pageSetUpPr fitToPage="1"/>
  </sheetPr>
  <dimension ref="A1:R32"/>
  <sheetViews>
    <sheetView tabSelected="1" zoomScale="85" zoomScaleNormal="85" workbookViewId="0">
      <selection activeCell="H3" sqref="H3"/>
    </sheetView>
  </sheetViews>
  <sheetFormatPr defaultRowHeight="15" x14ac:dyDescent="0.25"/>
  <cols>
    <col min="1" max="1" width="20.5703125" customWidth="1"/>
    <col min="2" max="2" width="18.28515625" customWidth="1"/>
    <col min="3" max="3" width="20.85546875" customWidth="1"/>
    <col min="4" max="4" width="28.42578125" customWidth="1"/>
  </cols>
  <sheetData>
    <row r="1" spans="1:4" ht="15.75" thickBot="1" x14ac:dyDescent="0.3"/>
    <row r="2" spans="1:4" x14ac:dyDescent="0.25">
      <c r="A2" s="86" t="s">
        <v>58</v>
      </c>
      <c r="B2" s="87"/>
      <c r="C2" s="87"/>
      <c r="D2" s="88"/>
    </row>
    <row r="3" spans="1:4" ht="15.75" thickBot="1" x14ac:dyDescent="0.3">
      <c r="A3" s="89"/>
      <c r="B3" s="90"/>
      <c r="C3" s="90"/>
      <c r="D3" s="91"/>
    </row>
    <row r="4" spans="1:4" ht="15.75" thickBot="1" x14ac:dyDescent="0.3">
      <c r="A4" s="26"/>
      <c r="B4" s="26"/>
      <c r="C4" s="26"/>
      <c r="D4" s="27"/>
    </row>
    <row r="5" spans="1:4" ht="15.75" thickBot="1" x14ac:dyDescent="0.3">
      <c r="A5" s="28" t="s">
        <v>31</v>
      </c>
      <c r="B5" s="84" t="s">
        <v>70</v>
      </c>
      <c r="C5" s="84"/>
      <c r="D5" s="85"/>
    </row>
    <row r="6" spans="1:4" ht="15.75" thickBot="1" x14ac:dyDescent="0.3">
      <c r="A6" s="26"/>
      <c r="B6" s="26"/>
      <c r="C6" s="26"/>
      <c r="D6" s="27"/>
    </row>
    <row r="7" spans="1:4" ht="15.75" thickBot="1" x14ac:dyDescent="0.3">
      <c r="A7" s="29" t="s">
        <v>7</v>
      </c>
      <c r="B7" s="30" t="s">
        <v>3</v>
      </c>
      <c r="C7" s="30" t="s">
        <v>4</v>
      </c>
      <c r="D7" s="31" t="s">
        <v>5</v>
      </c>
    </row>
    <row r="8" spans="1:4" ht="45" x14ac:dyDescent="0.25">
      <c r="A8" s="32" t="s">
        <v>8</v>
      </c>
      <c r="B8" s="17" t="s">
        <v>61</v>
      </c>
      <c r="C8" s="33" t="s">
        <v>6</v>
      </c>
      <c r="D8" s="18">
        <v>-10</v>
      </c>
    </row>
    <row r="9" spans="1:4" ht="45.75" thickBot="1" x14ac:dyDescent="0.3">
      <c r="A9" s="34" t="s">
        <v>64</v>
      </c>
      <c r="B9" s="19" t="s">
        <v>60</v>
      </c>
      <c r="C9" s="35" t="s">
        <v>10</v>
      </c>
      <c r="D9" s="20">
        <v>11.46</v>
      </c>
    </row>
    <row r="10" spans="1:4" ht="15.75" thickBot="1" x14ac:dyDescent="0.3"/>
    <row r="11" spans="1:4" x14ac:dyDescent="0.25">
      <c r="A11" s="92" t="s">
        <v>9</v>
      </c>
      <c r="B11" s="93"/>
      <c r="C11" s="93"/>
      <c r="D11" s="94"/>
    </row>
    <row r="12" spans="1:4" x14ac:dyDescent="0.25">
      <c r="A12" s="95"/>
      <c r="B12" s="96"/>
      <c r="C12" s="96"/>
      <c r="D12" s="97"/>
    </row>
    <row r="13" spans="1:4" ht="43.15" customHeight="1" x14ac:dyDescent="0.25">
      <c r="A13" s="36" t="s">
        <v>38</v>
      </c>
      <c r="B13" s="3" t="s">
        <v>11</v>
      </c>
      <c r="C13" s="36" t="s">
        <v>65</v>
      </c>
      <c r="D13" s="36" t="s">
        <v>66</v>
      </c>
    </row>
    <row r="14" spans="1:4" x14ac:dyDescent="0.25">
      <c r="A14" s="21">
        <v>-7</v>
      </c>
      <c r="B14" s="37">
        <f>(A14-16)*100/($D$8-16)</f>
        <v>88.461538461538467</v>
      </c>
      <c r="C14" s="3">
        <v>9.5500000000000007</v>
      </c>
      <c r="D14" s="3">
        <v>3.26</v>
      </c>
    </row>
    <row r="15" spans="1:4" x14ac:dyDescent="0.25">
      <c r="A15" s="21">
        <v>2</v>
      </c>
      <c r="B15" s="37">
        <f>ROUND((A15-16)*100/($D$8-16),2)</f>
        <v>53.85</v>
      </c>
      <c r="C15" s="3">
        <v>11.17</v>
      </c>
      <c r="D15" s="3">
        <v>4</v>
      </c>
    </row>
    <row r="16" spans="1:4" x14ac:dyDescent="0.25">
      <c r="A16" s="21">
        <v>7</v>
      </c>
      <c r="B16" s="3">
        <f t="shared" ref="B16:B19" si="0">ROUND((A16-16)*100/($D$8-16),2)</f>
        <v>34.619999999999997</v>
      </c>
      <c r="C16" s="3">
        <v>12.66</v>
      </c>
      <c r="D16" s="3">
        <v>4.91</v>
      </c>
    </row>
    <row r="17" spans="1:18" x14ac:dyDescent="0.25">
      <c r="A17" s="21">
        <v>12</v>
      </c>
      <c r="B17" s="3">
        <f t="shared" si="0"/>
        <v>15.38</v>
      </c>
      <c r="C17" s="3">
        <v>14.3</v>
      </c>
      <c r="D17" s="3">
        <v>5.5</v>
      </c>
    </row>
    <row r="18" spans="1:18" x14ac:dyDescent="0.25">
      <c r="A18" s="21">
        <v>-10</v>
      </c>
      <c r="B18" s="3">
        <f t="shared" si="0"/>
        <v>100</v>
      </c>
      <c r="C18" s="38">
        <v>7.8</v>
      </c>
      <c r="D18" s="38">
        <v>2.6</v>
      </c>
    </row>
    <row r="19" spans="1:18" x14ac:dyDescent="0.25">
      <c r="A19" s="21">
        <v>-6</v>
      </c>
      <c r="B19" s="3">
        <f t="shared" si="0"/>
        <v>84.62</v>
      </c>
      <c r="C19" s="3">
        <v>9.6999999999999993</v>
      </c>
      <c r="D19" s="3">
        <v>3.3</v>
      </c>
    </row>
    <row r="20" spans="1:18" ht="15.75" thickBot="1" x14ac:dyDescent="0.3"/>
    <row r="21" spans="1:18" x14ac:dyDescent="0.25">
      <c r="A21" s="39"/>
      <c r="B21" s="40" t="s">
        <v>3</v>
      </c>
      <c r="C21" s="40" t="s">
        <v>4</v>
      </c>
      <c r="D21" s="41" t="s">
        <v>5</v>
      </c>
    </row>
    <row r="22" spans="1:18" ht="60" x14ac:dyDescent="0.25">
      <c r="A22" s="42" t="s">
        <v>18</v>
      </c>
      <c r="B22" s="21" t="s">
        <v>22</v>
      </c>
      <c r="C22" s="3" t="s">
        <v>10</v>
      </c>
      <c r="D22" s="22">
        <v>4.9000000000000002E-2</v>
      </c>
    </row>
    <row r="23" spans="1:18" ht="45" x14ac:dyDescent="0.25">
      <c r="A23" s="42" t="s">
        <v>19</v>
      </c>
      <c r="B23" s="21" t="s">
        <v>23</v>
      </c>
      <c r="C23" s="3" t="s">
        <v>10</v>
      </c>
      <c r="D23" s="22">
        <v>1.2999999999999999E-2</v>
      </c>
    </row>
    <row r="24" spans="1:18" ht="60" x14ac:dyDescent="0.25">
      <c r="A24" s="42" t="s">
        <v>20</v>
      </c>
      <c r="B24" s="21" t="s">
        <v>24</v>
      </c>
      <c r="C24" s="3" t="s">
        <v>10</v>
      </c>
      <c r="D24" s="22">
        <v>0</v>
      </c>
    </row>
    <row r="25" spans="1:18" ht="48" thickBot="1" x14ac:dyDescent="0.35">
      <c r="A25" s="43" t="s">
        <v>21</v>
      </c>
      <c r="B25" s="23" t="s">
        <v>25</v>
      </c>
      <c r="C25" s="4" t="s">
        <v>10</v>
      </c>
      <c r="D25" s="24">
        <v>0</v>
      </c>
    </row>
    <row r="26" spans="1:18" ht="15.75" thickBot="1" x14ac:dyDescent="0.3"/>
    <row r="27" spans="1:18" x14ac:dyDescent="0.25">
      <c r="A27" s="39" t="s">
        <v>12</v>
      </c>
      <c r="B27" s="40" t="s">
        <v>3</v>
      </c>
      <c r="C27" s="40" t="s">
        <v>4</v>
      </c>
      <c r="D27" s="41" t="s">
        <v>5</v>
      </c>
      <c r="R27" s="16"/>
    </row>
    <row r="28" spans="1:18" ht="45" x14ac:dyDescent="0.25">
      <c r="A28" s="44" t="s">
        <v>13</v>
      </c>
      <c r="B28" s="21" t="s">
        <v>59</v>
      </c>
      <c r="C28" s="3" t="s">
        <v>30</v>
      </c>
      <c r="D28" s="25">
        <v>1400</v>
      </c>
    </row>
    <row r="29" spans="1:18" ht="60" x14ac:dyDescent="0.25">
      <c r="A29" s="44" t="s">
        <v>14</v>
      </c>
      <c r="B29" s="21" t="s">
        <v>26</v>
      </c>
      <c r="C29" s="3" t="s">
        <v>30</v>
      </c>
      <c r="D29" s="22">
        <v>179</v>
      </c>
    </row>
    <row r="30" spans="1:18" ht="45" x14ac:dyDescent="0.25">
      <c r="A30" s="44" t="s">
        <v>15</v>
      </c>
      <c r="B30" s="21" t="s">
        <v>27</v>
      </c>
      <c r="C30" s="3" t="s">
        <v>30</v>
      </c>
      <c r="D30" s="22">
        <v>0</v>
      </c>
    </row>
    <row r="31" spans="1:18" ht="63" x14ac:dyDescent="0.3">
      <c r="A31" s="45" t="s">
        <v>16</v>
      </c>
      <c r="B31" s="21" t="s">
        <v>28</v>
      </c>
      <c r="C31" s="3" t="s">
        <v>30</v>
      </c>
      <c r="D31" s="22">
        <v>179</v>
      </c>
    </row>
    <row r="32" spans="1:18" ht="48" thickBot="1" x14ac:dyDescent="0.35">
      <c r="A32" s="46" t="s">
        <v>17</v>
      </c>
      <c r="B32" s="23" t="s">
        <v>29</v>
      </c>
      <c r="C32" s="4" t="s">
        <v>30</v>
      </c>
      <c r="D32" s="24">
        <v>0</v>
      </c>
    </row>
  </sheetData>
  <mergeCells count="3">
    <mergeCell ref="B5:D5"/>
    <mergeCell ref="A2:D3"/>
    <mergeCell ref="A11:D12"/>
  </mergeCells>
  <dataValidations count="1">
    <dataValidation type="list" allowBlank="1" showInputMessage="1" showErrorMessage="1" sqref="B5:D5" xr:uid="{00000000-0002-0000-0000-000000000000}">
      <formula1>"Μονάδες αέρα - αέρα ή νερού - αέρα, Όλοι οι υπόλοιποι τύποι μονάδων"</formula1>
    </dataValidation>
  </dataValidations>
  <pageMargins left="0.7" right="0.7" top="0.75" bottom="0.75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1">
    <pageSetUpPr fitToPage="1"/>
  </sheetPr>
  <dimension ref="A1:O84"/>
  <sheetViews>
    <sheetView topLeftCell="A52" zoomScale="85" zoomScaleNormal="85" workbookViewId="0">
      <selection activeCell="G87" sqref="G87"/>
    </sheetView>
  </sheetViews>
  <sheetFormatPr defaultRowHeight="15" x14ac:dyDescent="0.25"/>
  <cols>
    <col min="2" max="2" width="13.7109375" customWidth="1"/>
    <col min="4" max="4" width="10.5703125" customWidth="1"/>
    <col min="5" max="5" width="9.28515625" customWidth="1"/>
    <col min="7" max="7" width="15.85546875" customWidth="1"/>
    <col min="8" max="8" width="13.85546875" customWidth="1"/>
    <col min="9" max="9" width="15.7109375" customWidth="1"/>
    <col min="10" max="10" width="11.7109375" customWidth="1"/>
    <col min="11" max="11" width="12.7109375" customWidth="1"/>
    <col min="12" max="12" width="13.28515625" customWidth="1"/>
    <col min="13" max="13" width="10.85546875" customWidth="1"/>
    <col min="14" max="14" width="12.7109375" customWidth="1"/>
  </cols>
  <sheetData>
    <row r="1" spans="1:8" x14ac:dyDescent="0.25">
      <c r="A1" s="104" t="s">
        <v>52</v>
      </c>
      <c r="B1" s="104"/>
      <c r="C1" s="104"/>
      <c r="D1" s="104"/>
      <c r="E1" s="104"/>
      <c r="F1" s="104"/>
      <c r="G1" s="104"/>
      <c r="H1" s="104"/>
    </row>
    <row r="2" spans="1:8" x14ac:dyDescent="0.25">
      <c r="A2" s="103" t="s">
        <v>51</v>
      </c>
      <c r="B2" s="103"/>
      <c r="C2" s="103"/>
    </row>
    <row r="3" spans="1:8" x14ac:dyDescent="0.25">
      <c r="A3" s="3" t="s">
        <v>0</v>
      </c>
      <c r="B3" s="3" t="s">
        <v>1</v>
      </c>
      <c r="C3" s="3" t="s">
        <v>2</v>
      </c>
      <c r="E3" s="14"/>
    </row>
    <row r="4" spans="1:8" ht="15.75" x14ac:dyDescent="0.3">
      <c r="A4" s="3">
        <v>1</v>
      </c>
      <c r="B4" s="3">
        <v>-10</v>
      </c>
      <c r="C4" s="3">
        <v>1</v>
      </c>
      <c r="E4" s="2"/>
    </row>
    <row r="5" spans="1:8" ht="15.75" x14ac:dyDescent="0.3">
      <c r="A5" s="3">
        <f>A4+1</f>
        <v>2</v>
      </c>
      <c r="B5" s="3">
        <f>B4+1</f>
        <v>-9</v>
      </c>
      <c r="C5" s="3">
        <v>25</v>
      </c>
      <c r="E5" s="2"/>
    </row>
    <row r="6" spans="1:8" ht="15.75" thickBot="1" x14ac:dyDescent="0.3">
      <c r="A6" s="3">
        <f t="shared" ref="A6:A29" si="0">A5+1</f>
        <v>3</v>
      </c>
      <c r="B6" s="3">
        <f t="shared" ref="B6:B29" si="1">B5+1</f>
        <v>-8</v>
      </c>
      <c r="C6" s="3">
        <v>23</v>
      </c>
    </row>
    <row r="7" spans="1:8" ht="15.75" thickBot="1" x14ac:dyDescent="0.3">
      <c r="A7" s="3">
        <f t="shared" si="0"/>
        <v>4</v>
      </c>
      <c r="B7" s="3">
        <f t="shared" si="1"/>
        <v>-7</v>
      </c>
      <c r="C7" s="3">
        <v>24</v>
      </c>
      <c r="E7" s="110"/>
      <c r="F7" s="111"/>
      <c r="G7" s="112"/>
      <c r="H7" s="47" t="s">
        <v>69</v>
      </c>
    </row>
    <row r="8" spans="1:8" ht="15.75" x14ac:dyDescent="0.25">
      <c r="A8" s="3">
        <f t="shared" si="0"/>
        <v>5</v>
      </c>
      <c r="B8" s="3">
        <f t="shared" si="1"/>
        <v>-6</v>
      </c>
      <c r="C8" s="3">
        <v>27</v>
      </c>
      <c r="E8" s="106" t="s">
        <v>56</v>
      </c>
      <c r="F8" s="107"/>
      <c r="G8" s="107"/>
      <c r="H8" s="5">
        <v>0.25</v>
      </c>
    </row>
    <row r="9" spans="1:8" ht="16.5" thickBot="1" x14ac:dyDescent="0.3">
      <c r="A9" s="3">
        <f t="shared" si="0"/>
        <v>6</v>
      </c>
      <c r="B9" s="3">
        <f t="shared" si="1"/>
        <v>-5</v>
      </c>
      <c r="C9" s="3">
        <v>68</v>
      </c>
      <c r="E9" s="108" t="s">
        <v>57</v>
      </c>
      <c r="F9" s="109"/>
      <c r="G9" s="109"/>
      <c r="H9" s="6">
        <v>0.9</v>
      </c>
    </row>
    <row r="10" spans="1:8" x14ac:dyDescent="0.25">
      <c r="A10" s="3">
        <f t="shared" si="0"/>
        <v>7</v>
      </c>
      <c r="B10" s="3">
        <f t="shared" si="1"/>
        <v>-4</v>
      </c>
      <c r="C10" s="3">
        <v>91</v>
      </c>
    </row>
    <row r="11" spans="1:8" x14ac:dyDescent="0.25">
      <c r="A11" s="3">
        <f t="shared" si="0"/>
        <v>8</v>
      </c>
      <c r="B11" s="3">
        <f t="shared" si="1"/>
        <v>-3</v>
      </c>
      <c r="C11" s="3">
        <v>89</v>
      </c>
    </row>
    <row r="12" spans="1:8" x14ac:dyDescent="0.25">
      <c r="A12" s="3">
        <f t="shared" si="0"/>
        <v>9</v>
      </c>
      <c r="B12" s="3">
        <f t="shared" si="1"/>
        <v>-2</v>
      </c>
      <c r="C12" s="3">
        <v>165</v>
      </c>
    </row>
    <row r="13" spans="1:8" x14ac:dyDescent="0.25">
      <c r="A13" s="3">
        <f t="shared" si="0"/>
        <v>10</v>
      </c>
      <c r="B13" s="3">
        <f t="shared" si="1"/>
        <v>-1</v>
      </c>
      <c r="C13" s="3">
        <v>173</v>
      </c>
    </row>
    <row r="14" spans="1:8" x14ac:dyDescent="0.25">
      <c r="A14" s="3">
        <f t="shared" si="0"/>
        <v>11</v>
      </c>
      <c r="B14" s="3">
        <f t="shared" si="1"/>
        <v>0</v>
      </c>
      <c r="C14" s="3">
        <v>240</v>
      </c>
    </row>
    <row r="15" spans="1:8" x14ac:dyDescent="0.25">
      <c r="A15" s="3">
        <f t="shared" si="0"/>
        <v>12</v>
      </c>
      <c r="B15" s="3">
        <f t="shared" si="1"/>
        <v>1</v>
      </c>
      <c r="C15" s="3">
        <v>280</v>
      </c>
    </row>
    <row r="16" spans="1:8" x14ac:dyDescent="0.25">
      <c r="A16" s="3">
        <f t="shared" si="0"/>
        <v>13</v>
      </c>
      <c r="B16" s="3">
        <f t="shared" si="1"/>
        <v>2</v>
      </c>
      <c r="C16" s="3">
        <v>320</v>
      </c>
    </row>
    <row r="17" spans="1:12" x14ac:dyDescent="0.25">
      <c r="A17" s="3">
        <f t="shared" si="0"/>
        <v>14</v>
      </c>
      <c r="B17" s="3">
        <f t="shared" si="1"/>
        <v>3</v>
      </c>
      <c r="C17" s="3">
        <v>357</v>
      </c>
    </row>
    <row r="18" spans="1:12" x14ac:dyDescent="0.25">
      <c r="A18" s="3">
        <f t="shared" si="0"/>
        <v>15</v>
      </c>
      <c r="B18" s="3">
        <f t="shared" si="1"/>
        <v>4</v>
      </c>
      <c r="C18" s="3">
        <v>356</v>
      </c>
    </row>
    <row r="19" spans="1:12" x14ac:dyDescent="0.25">
      <c r="A19" s="3">
        <f t="shared" si="0"/>
        <v>16</v>
      </c>
      <c r="B19" s="3">
        <f t="shared" si="1"/>
        <v>5</v>
      </c>
      <c r="C19" s="3">
        <v>303</v>
      </c>
    </row>
    <row r="20" spans="1:12" x14ac:dyDescent="0.25">
      <c r="A20" s="3">
        <f t="shared" si="0"/>
        <v>17</v>
      </c>
      <c r="B20" s="3">
        <f t="shared" si="1"/>
        <v>6</v>
      </c>
      <c r="C20" s="3">
        <v>330</v>
      </c>
    </row>
    <row r="21" spans="1:12" x14ac:dyDescent="0.25">
      <c r="A21" s="3">
        <f t="shared" si="0"/>
        <v>18</v>
      </c>
      <c r="B21" s="3">
        <f t="shared" si="1"/>
        <v>7</v>
      </c>
      <c r="C21" s="3">
        <v>326</v>
      </c>
    </row>
    <row r="22" spans="1:12" x14ac:dyDescent="0.25">
      <c r="A22" s="3">
        <f t="shared" si="0"/>
        <v>19</v>
      </c>
      <c r="B22" s="3">
        <f t="shared" si="1"/>
        <v>8</v>
      </c>
      <c r="C22" s="3">
        <v>348</v>
      </c>
    </row>
    <row r="23" spans="1:12" x14ac:dyDescent="0.25">
      <c r="A23" s="3">
        <f t="shared" si="0"/>
        <v>20</v>
      </c>
      <c r="B23" s="3">
        <f t="shared" si="1"/>
        <v>9</v>
      </c>
      <c r="C23" s="3">
        <v>335</v>
      </c>
    </row>
    <row r="24" spans="1:12" x14ac:dyDescent="0.25">
      <c r="A24" s="3">
        <f t="shared" si="0"/>
        <v>21</v>
      </c>
      <c r="B24" s="3">
        <f t="shared" si="1"/>
        <v>10</v>
      </c>
      <c r="C24" s="3">
        <v>315</v>
      </c>
    </row>
    <row r="25" spans="1:12" x14ac:dyDescent="0.25">
      <c r="A25" s="3">
        <f t="shared" si="0"/>
        <v>22</v>
      </c>
      <c r="B25" s="3">
        <f t="shared" si="1"/>
        <v>11</v>
      </c>
      <c r="C25" s="3">
        <v>215</v>
      </c>
    </row>
    <row r="26" spans="1:12" x14ac:dyDescent="0.25">
      <c r="A26" s="3">
        <f t="shared" si="0"/>
        <v>23</v>
      </c>
      <c r="B26" s="3">
        <f t="shared" si="1"/>
        <v>12</v>
      </c>
      <c r="C26" s="3">
        <v>169</v>
      </c>
    </row>
    <row r="27" spans="1:12" x14ac:dyDescent="0.25">
      <c r="A27" s="3">
        <f t="shared" si="0"/>
        <v>24</v>
      </c>
      <c r="B27" s="3">
        <f t="shared" si="1"/>
        <v>13</v>
      </c>
      <c r="C27" s="3">
        <v>151</v>
      </c>
    </row>
    <row r="28" spans="1:12" x14ac:dyDescent="0.25">
      <c r="A28" s="3">
        <f t="shared" si="0"/>
        <v>25</v>
      </c>
      <c r="B28" s="3">
        <f>B27+1</f>
        <v>14</v>
      </c>
      <c r="C28" s="3">
        <v>105</v>
      </c>
    </row>
    <row r="29" spans="1:12" s="7" customFormat="1" x14ac:dyDescent="0.25">
      <c r="A29" s="3">
        <f t="shared" si="0"/>
        <v>26</v>
      </c>
      <c r="B29" s="3">
        <f t="shared" si="1"/>
        <v>15</v>
      </c>
      <c r="C29" s="3">
        <v>74</v>
      </c>
      <c r="D29" s="15"/>
      <c r="E29" s="15"/>
      <c r="F29" s="15"/>
      <c r="G29" s="15"/>
      <c r="H29" s="15"/>
      <c r="I29" s="15"/>
      <c r="J29" s="15"/>
      <c r="K29" s="15"/>
      <c r="L29" s="15"/>
    </row>
    <row r="31" spans="1:12" ht="20.25" x14ac:dyDescent="0.35">
      <c r="A31" s="105" t="s">
        <v>83</v>
      </c>
      <c r="B31" s="105"/>
      <c r="C31" s="105"/>
      <c r="D31" s="105"/>
      <c r="E31" s="105"/>
      <c r="F31" s="105"/>
      <c r="G31" s="105"/>
      <c r="H31" s="105"/>
      <c r="I31" s="105"/>
    </row>
    <row r="32" spans="1:12" ht="15.75" thickBot="1" x14ac:dyDescent="0.3"/>
    <row r="33" spans="1:15" ht="47.25" x14ac:dyDescent="0.25">
      <c r="A33" s="48"/>
      <c r="B33" s="63" t="s">
        <v>82</v>
      </c>
      <c r="C33" s="63" t="s">
        <v>11</v>
      </c>
      <c r="D33" s="63" t="s">
        <v>36</v>
      </c>
      <c r="E33" s="63" t="s">
        <v>71</v>
      </c>
      <c r="F33" s="63" t="s">
        <v>72</v>
      </c>
      <c r="G33" s="63" t="s">
        <v>69</v>
      </c>
      <c r="H33" s="63" t="s">
        <v>37</v>
      </c>
      <c r="I33" s="64" t="s">
        <v>73</v>
      </c>
    </row>
    <row r="34" spans="1:15" x14ac:dyDescent="0.25">
      <c r="A34" s="49" t="s">
        <v>67</v>
      </c>
      <c r="B34" s="3">
        <f>INPUT!A18</f>
        <v>-10</v>
      </c>
      <c r="C34" s="49">
        <f>INPUT!B18</f>
        <v>100</v>
      </c>
      <c r="D34" s="49">
        <f>ROUND((INPUT!$D$9)*C34/100,2)</f>
        <v>11.46</v>
      </c>
      <c r="E34" s="49">
        <f>INPUT!C18</f>
        <v>7.8</v>
      </c>
      <c r="F34" s="49">
        <f>INPUT!D18</f>
        <v>2.6</v>
      </c>
      <c r="G34" s="49">
        <f>IF(INPUT!B5="Μονάδες αέρα - αέρα ή νερού - αέρα",CALCULATIONS!H8,IF(INPUT!B5="Όλοι οι υπόλοιποι τύποι μονάδων",CALCULATIONS!H9))</f>
        <v>0.9</v>
      </c>
      <c r="H34" s="49">
        <f t="shared" ref="H34:H39" si="2">IF(ROUND(D34/E34,2)&lt;=1,ROUND(D34/E34,2),1)</f>
        <v>1</v>
      </c>
      <c r="I34" s="49">
        <f>IF(INPUT!$B$5="Μονάδες αέρα - αέρα ή νερού - αέρα",F34*(1-(G34*(1-H34))),IF(INPUT!$B$5="Όλοι οι υπόλοιποι τύποι μονάδων",F34*((H34/(G34*H34+(1-G34))))))</f>
        <v>2.6</v>
      </c>
    </row>
    <row r="35" spans="1:15" x14ac:dyDescent="0.25">
      <c r="A35" s="49" t="s">
        <v>32</v>
      </c>
      <c r="B35" s="3">
        <f>INPUT!A14</f>
        <v>-7</v>
      </c>
      <c r="C35" s="50">
        <f>INPUT!B14</f>
        <v>88.461538461538467</v>
      </c>
      <c r="D35" s="49">
        <f>ROUND((INPUT!$D$9)*C35/100,2)</f>
        <v>10.14</v>
      </c>
      <c r="E35" s="49">
        <f>INPUT!C14</f>
        <v>9.5500000000000007</v>
      </c>
      <c r="F35" s="49">
        <f>INPUT!D14</f>
        <v>3.26</v>
      </c>
      <c r="G35" s="49">
        <f>IF(INPUT!B5="Μονάδες αέρα - αέρα ή νερού - αέρα",CALCULATIONS!H8,IF(INPUT!B5="Όλοι οι υπόλοιποι τύποι μονάδων",CALCULATIONS!H9))</f>
        <v>0.9</v>
      </c>
      <c r="H35" s="49">
        <f t="shared" si="2"/>
        <v>1</v>
      </c>
      <c r="I35" s="49">
        <f>IF(INPUT!$B$5="Μονάδες αέρα - αέρα ή νερού - αέρα",F35*(1-(G35*(1-H35))),IF(INPUT!$B$5="Όλοι οι υπόλοιποι τύποι μονάδων",F35*((H35/(G35*H35+(1-G35))))))</f>
        <v>3.26</v>
      </c>
    </row>
    <row r="36" spans="1:15" x14ac:dyDescent="0.25">
      <c r="A36" s="49" t="s">
        <v>68</v>
      </c>
      <c r="B36" s="3">
        <f>INPUT!A19</f>
        <v>-6</v>
      </c>
      <c r="C36" s="50">
        <f>INPUT!B19</f>
        <v>84.62</v>
      </c>
      <c r="D36" s="49">
        <f>ROUND((INPUT!$D$9)*C36/100,2)</f>
        <v>9.6999999999999993</v>
      </c>
      <c r="E36" s="49">
        <f>INPUT!C19</f>
        <v>9.6999999999999993</v>
      </c>
      <c r="F36" s="49">
        <f>INPUT!D19</f>
        <v>3.3</v>
      </c>
      <c r="G36" s="49">
        <f>IF(INPUT!B5="Μονάδες αέρα - αέρα ή νερού - αέρα",CALCULATIONS!H8,IF(INPUT!B5="Όλοι οι υπόλοιποι τύποι μονάδων",CALCULATIONS!H9))</f>
        <v>0.9</v>
      </c>
      <c r="H36" s="49">
        <f t="shared" si="2"/>
        <v>1</v>
      </c>
      <c r="I36" s="49">
        <f>IF(INPUT!$B$5="Μονάδες αέρα - αέρα ή νερού - αέρα",F36*(1-(G36*(1-H36))),IF(INPUT!$B$5="Όλοι οι υπόλοιποι τύποι μονάδων",F36*((H36/(G36*H36+(1-G36))))))</f>
        <v>3.3</v>
      </c>
    </row>
    <row r="37" spans="1:15" x14ac:dyDescent="0.25">
      <c r="A37" s="49" t="s">
        <v>33</v>
      </c>
      <c r="B37" s="3">
        <f>INPUT!A15</f>
        <v>2</v>
      </c>
      <c r="C37" s="50">
        <f>INPUT!B15</f>
        <v>53.85</v>
      </c>
      <c r="D37" s="49">
        <f>ROUND((INPUT!$D$9)*C37/100,2)</f>
        <v>6.17</v>
      </c>
      <c r="E37" s="49">
        <f>INPUT!C15</f>
        <v>11.17</v>
      </c>
      <c r="F37" s="49">
        <f>INPUT!D15</f>
        <v>4</v>
      </c>
      <c r="G37" s="49">
        <f>IF(INPUT!B5="Μονάδες αέρα - αέρα ή νερού - αέρα",CALCULATIONS!H8,IF(INPUT!B5="Όλοι οι υπόλοιποι τύποι μονάδων",CALCULATIONS!H9))</f>
        <v>0.9</v>
      </c>
      <c r="H37" s="49">
        <f t="shared" si="2"/>
        <v>0.55000000000000004</v>
      </c>
      <c r="I37" s="51">
        <f>IF(INPUT!$B$5="Μονάδες αέρα - αέρα ή νερού - αέρα",F37*(1-(G37*(1-H37))),IF(INPUT!$B$5="Όλοι οι υπόλοιποι τύποι μονάδων",F37*((H37/(G37*H37+(1-G37))))))</f>
        <v>3.6974789915966393</v>
      </c>
    </row>
    <row r="38" spans="1:15" x14ac:dyDescent="0.25">
      <c r="A38" s="49" t="s">
        <v>34</v>
      </c>
      <c r="B38" s="3">
        <f>INPUT!A16</f>
        <v>7</v>
      </c>
      <c r="C38" s="50">
        <f>INPUT!B16</f>
        <v>34.619999999999997</v>
      </c>
      <c r="D38" s="49">
        <f>ROUND((INPUT!$D$9)*C38/100,2)</f>
        <v>3.97</v>
      </c>
      <c r="E38" s="49">
        <f>INPUT!C16</f>
        <v>12.66</v>
      </c>
      <c r="F38" s="49">
        <f>INPUT!D16</f>
        <v>4.91</v>
      </c>
      <c r="G38" s="49">
        <f>IF(INPUT!B5="Μονάδες αέρα - αέρα ή νερού - αέρα",CALCULATIONS!H8,IF(INPUT!B5="Όλοι οι υπόλοιποι τύποι μονάδων",CALCULATIONS!H9))</f>
        <v>0.9</v>
      </c>
      <c r="H38" s="49">
        <f t="shared" si="2"/>
        <v>0.31</v>
      </c>
      <c r="I38" s="51">
        <f>IF(INPUT!$B$5="Μονάδες αέρα - αέρα ή νερού - αέρα",F38*(1-(G38*(1-H38))),IF(INPUT!$B$5="Όλοι οι υπόλοιποι τύποι μονάδων",F38*((H38/(G38*H38+(1-G38))))))</f>
        <v>4.0160949868073876</v>
      </c>
    </row>
    <row r="39" spans="1:15" x14ac:dyDescent="0.25">
      <c r="A39" s="49" t="s">
        <v>35</v>
      </c>
      <c r="B39" s="3">
        <f>INPUT!A17</f>
        <v>12</v>
      </c>
      <c r="C39" s="50">
        <f>INPUT!B17</f>
        <v>15.38</v>
      </c>
      <c r="D39" s="49">
        <f>ROUND((INPUT!$D$9)*C39/100,2)</f>
        <v>1.76</v>
      </c>
      <c r="E39" s="49">
        <f>INPUT!C17</f>
        <v>14.3</v>
      </c>
      <c r="F39" s="49">
        <f>INPUT!D17</f>
        <v>5.5</v>
      </c>
      <c r="G39" s="49">
        <f>IF(INPUT!B5="Μονάδες αέρα - αέρα ή νερού - αέρα",CALCULATIONS!H8,IF(INPUT!B5="Όλοι οι υπόλοιποι τύποι μονάδων",CALCULATIONS!H9))</f>
        <v>0.9</v>
      </c>
      <c r="H39" s="49">
        <f t="shared" si="2"/>
        <v>0.12</v>
      </c>
      <c r="I39" s="51">
        <f>IF(INPUT!$B$5="Μονάδες αέρα - αέρα ή νερού - αέρα",F39*(1-(G39*(1-H39))),IF(INPUT!$B$5="Όλοι οι υπόλοιποι τύποι μονάδων",F39*((H39/(G39*H39+(1-G39))))))</f>
        <v>3.1730769230769234</v>
      </c>
    </row>
    <row r="40" spans="1:15" ht="9.75" customHeight="1" x14ac:dyDescent="0.25"/>
    <row r="41" spans="1:15" ht="71.25" customHeight="1" x14ac:dyDescent="0.25">
      <c r="B41" s="52" t="s">
        <v>0</v>
      </c>
      <c r="C41" s="52" t="s">
        <v>1</v>
      </c>
      <c r="D41" s="54" t="s">
        <v>2</v>
      </c>
      <c r="E41" s="58"/>
      <c r="F41" s="56" t="s">
        <v>75</v>
      </c>
      <c r="G41" s="53" t="s">
        <v>78</v>
      </c>
      <c r="H41" s="53" t="s">
        <v>79</v>
      </c>
      <c r="I41" s="53" t="s">
        <v>76</v>
      </c>
      <c r="J41" s="53" t="s">
        <v>77</v>
      </c>
      <c r="K41" s="53" t="s">
        <v>73</v>
      </c>
      <c r="L41" s="53" t="s">
        <v>74</v>
      </c>
      <c r="M41" s="53" t="s">
        <v>80</v>
      </c>
      <c r="N41" s="53" t="s">
        <v>81</v>
      </c>
    </row>
    <row r="42" spans="1:15" x14ac:dyDescent="0.25">
      <c r="A42" s="62" t="s">
        <v>67</v>
      </c>
      <c r="B42" s="3">
        <f>A4</f>
        <v>1</v>
      </c>
      <c r="C42" s="3">
        <f>B4</f>
        <v>-10</v>
      </c>
      <c r="D42" s="55">
        <f>C4</f>
        <v>1</v>
      </c>
      <c r="E42" s="59"/>
      <c r="F42" s="57">
        <f>ROUND((C42-16)/(INPUT!$D$8-16)*INPUT!$D$9,2)</f>
        <v>11.46</v>
      </c>
      <c r="G42" s="37">
        <f>IF(C42&lt;$B$39,TREND(INDEX($E$34:$E$39,MATCH(C42,$B$34:$B$39,1)):INDEX($E$34:$E$39,MATCH(C42,$B$34:$B$39,1)+1),INDEX($B$34:$B$39,MATCH(C42,$B$34:$B$39,1)):INDEX($B$34:$B$39,MATCH(C42,$B$34:$B$39,1)+1),C42,TRUE),$E$39+(C42-$B$39)*($E$39-$G$63))</f>
        <v>7.7999999999999989</v>
      </c>
      <c r="H42" s="49">
        <f>IF(G42&lt;=F42,G42,F42)</f>
        <v>7.7999999999999989</v>
      </c>
      <c r="I42" s="3">
        <f>F42-H42</f>
        <v>3.6600000000000019</v>
      </c>
      <c r="J42" s="3">
        <f>ROUND(I42*D42,0)</f>
        <v>4</v>
      </c>
      <c r="K42" s="37">
        <f>IF(C42&lt;$B$39,TREND(INDEX($I$34:$I$39,MATCH(C42,$B$34:$B$39,1)):INDEX($I$34:$I$39,MATCH(C42,$B$34:$B$39,1)+1),INDEX($B$34:$B$39,MATCH(C42,$B$34:$B$39,1)):INDEX($B$34:$B$39,MATCH(C42,$B$34:$B$39,1)+1),C42,TRUE),$I$39+(C42-$B$39)*($I$39-$K$63))</f>
        <v>2.5999999999999996</v>
      </c>
      <c r="L42" s="3">
        <f t="shared" ref="L42:L67" si="3">ROUND(D42*F42,0)</f>
        <v>11</v>
      </c>
      <c r="M42" s="3">
        <f>ROUND(D42*H42/K42,0)</f>
        <v>3</v>
      </c>
      <c r="N42" s="49">
        <f>J42+M42</f>
        <v>7</v>
      </c>
      <c r="O42" s="61"/>
    </row>
    <row r="43" spans="1:15" x14ac:dyDescent="0.25">
      <c r="A43" s="62" t="str">
        <f>IF(C43=$B$35,"A",IF(C43=$B$37,"B",IF(C43=$B$38,"Γ",IF(C43=$B$39,"Δ",""))))</f>
        <v/>
      </c>
      <c r="B43" s="3">
        <f t="shared" ref="B43:D43" si="4">A5</f>
        <v>2</v>
      </c>
      <c r="C43" s="3">
        <f t="shared" si="4"/>
        <v>-9</v>
      </c>
      <c r="D43" s="55">
        <f t="shared" si="4"/>
        <v>25</v>
      </c>
      <c r="E43" s="59"/>
      <c r="F43" s="57">
        <f>ROUND((C43-16)/(INPUT!$D$8-16)*INPUT!$D$9,2)</f>
        <v>11.02</v>
      </c>
      <c r="G43" s="37">
        <f>IF(C43&lt;$B$39,TREND(INDEX($E$34:$E$39,MATCH(C43,$B$34:$B$39,1)):INDEX($E$34:$E$39,MATCH(C43,$B$34:$B$39,1)+1),INDEX($B$34:$B$39,MATCH(C43,$B$34:$B$39,1)):INDEX($B$34:$B$39,MATCH(C43,$B$34:$B$39,1)+1),C43,TRUE),$E$39+(C43-$B$39)*($E$39-$G$63))</f>
        <v>8.3833333333333329</v>
      </c>
      <c r="H43" s="51">
        <f t="shared" ref="H43:H67" si="5">IF(G43&lt;=F43,G43,F43)</f>
        <v>8.3833333333333329</v>
      </c>
      <c r="I43" s="37">
        <f t="shared" ref="I43:I67" si="6">F43-H43</f>
        <v>2.6366666666666667</v>
      </c>
      <c r="J43" s="3">
        <f t="shared" ref="J43:J67" si="7">ROUND(I43*D43,0)</f>
        <v>66</v>
      </c>
      <c r="K43" s="37">
        <f>IF(C43&lt;$B$39,TREND(INDEX($I$34:$I$39,MATCH(C43,$B$34:$B$39,1)):INDEX($I$34:$I$39,MATCH(C43,$B$34:$B$39,1)+1),INDEX($B$34:$B$39,MATCH(C43,$B$34:$B$39,1)):INDEX($B$34:$B$39,MATCH(C43,$B$34:$B$39,1)+1),C43,TRUE),$I$39+(C43-$B$39)*($I$39-$K$63))</f>
        <v>2.8199999999999994</v>
      </c>
      <c r="L43" s="3">
        <f t="shared" si="3"/>
        <v>276</v>
      </c>
      <c r="M43" s="3">
        <f t="shared" ref="M43:M67" si="8">ROUND(D43*H43/K43,0)</f>
        <v>74</v>
      </c>
      <c r="N43" s="49">
        <f t="shared" ref="N43:N67" si="9">J43+M43</f>
        <v>140</v>
      </c>
    </row>
    <row r="44" spans="1:15" x14ac:dyDescent="0.25">
      <c r="A44" s="62" t="str">
        <f>IF(C44=$B$35,"A",IF(C44=$B$37,"B",IF(C44=$B$38,"Γ",IF(C44=$B$39,"Δ",""))))</f>
        <v/>
      </c>
      <c r="B44" s="3">
        <f t="shared" ref="B44:D44" si="10">A6</f>
        <v>3</v>
      </c>
      <c r="C44" s="3">
        <f t="shared" si="10"/>
        <v>-8</v>
      </c>
      <c r="D44" s="55">
        <f t="shared" si="10"/>
        <v>23</v>
      </c>
      <c r="E44" s="59"/>
      <c r="F44" s="57">
        <f>ROUND((C44-16)/(INPUT!$D$8-16)*INPUT!$D$9,2)</f>
        <v>10.58</v>
      </c>
      <c r="G44" s="37">
        <f>IF(C44&lt;$B$39,TREND(INDEX($E$34:$E$39,MATCH(C44,$B$34:$B$39,1)):INDEX($E$34:$E$39,MATCH(C44,$B$34:$B$39,1)+1),INDEX($B$34:$B$39,MATCH(C44,$B$34:$B$39,1)):INDEX($B$34:$B$39,MATCH(C44,$B$34:$B$39,1)+1),C44,TRUE),$E$39+(C44-$B$39)*($E$39-$G$63))</f>
        <v>8.9666666666666668</v>
      </c>
      <c r="H44" s="51">
        <f t="shared" si="5"/>
        <v>8.9666666666666668</v>
      </c>
      <c r="I44" s="37">
        <f t="shared" si="6"/>
        <v>1.6133333333333333</v>
      </c>
      <c r="J44" s="3">
        <f t="shared" si="7"/>
        <v>37</v>
      </c>
      <c r="K44" s="37">
        <f>IF(C44&lt;$B$39,TREND(INDEX($I$34:$I$39,MATCH(C44,$B$34:$B$39,1)):INDEX($I$34:$I$39,MATCH(C44,$B$34:$B$39,1)+1),INDEX($B$34:$B$39,MATCH(C44,$B$34:$B$39,1)):INDEX($B$34:$B$39,MATCH(C44,$B$34:$B$39,1)+1),C44,TRUE),$I$39+(C44-$B$39)*($I$39-$K$63))</f>
        <v>3.0399999999999996</v>
      </c>
      <c r="L44" s="3">
        <f t="shared" si="3"/>
        <v>243</v>
      </c>
      <c r="M44" s="3">
        <f t="shared" si="8"/>
        <v>68</v>
      </c>
      <c r="N44" s="49">
        <f t="shared" si="9"/>
        <v>105</v>
      </c>
    </row>
    <row r="45" spans="1:15" x14ac:dyDescent="0.25">
      <c r="A45" s="62" t="str">
        <f>IF(C45=$B$35,"A",IF(C45=$B$37,"B",IF(C45=$B$38,"Γ",IF(C45=$B$39,"Δ",""))))</f>
        <v>A</v>
      </c>
      <c r="B45" s="3">
        <f t="shared" ref="B45:D45" si="11">A7</f>
        <v>4</v>
      </c>
      <c r="C45" s="3">
        <f t="shared" si="11"/>
        <v>-7</v>
      </c>
      <c r="D45" s="55">
        <f t="shared" si="11"/>
        <v>24</v>
      </c>
      <c r="E45" s="59"/>
      <c r="F45" s="57">
        <f>ROUND((C45-16)/(INPUT!$D$8-16)*INPUT!$D$9,2)</f>
        <v>10.14</v>
      </c>
      <c r="G45" s="37">
        <f>IF(C45&lt;$B$39,TREND(INDEX($E$34:$E$39,MATCH(C45,$B$34:$B$39,1)):INDEX($E$34:$E$39,MATCH(C45,$B$34:$B$39,1)+1),INDEX($B$34:$B$39,MATCH(C45,$B$34:$B$39,1)):INDEX($B$34:$B$39,MATCH(C45,$B$34:$B$39,1)+1),C45,TRUE),$E$39+(C45-$B$39)*($E$39-$G$63))</f>
        <v>9.5500000000000007</v>
      </c>
      <c r="H45" s="49">
        <f t="shared" si="5"/>
        <v>9.5500000000000007</v>
      </c>
      <c r="I45" s="3">
        <f t="shared" si="6"/>
        <v>0.58999999999999986</v>
      </c>
      <c r="J45" s="3">
        <f t="shared" si="7"/>
        <v>14</v>
      </c>
      <c r="K45" s="37">
        <f>IF(C45&lt;$B$39,TREND(INDEX($I$34:$I$39,MATCH(C45,$B$34:$B$39,1)):INDEX($I$34:$I$39,MATCH(C45,$B$34:$B$39,1)+1),INDEX($B$34:$B$39,MATCH(C45,$B$34:$B$39,1)):INDEX($B$34:$B$39,MATCH(C45,$B$34:$B$39,1)+1),C45,TRUE),$I$39+(C45-$B$39)*($I$39-$K$63))</f>
        <v>3.26</v>
      </c>
      <c r="L45" s="3">
        <f t="shared" si="3"/>
        <v>243</v>
      </c>
      <c r="M45" s="3">
        <f t="shared" si="8"/>
        <v>70</v>
      </c>
      <c r="N45" s="49">
        <f t="shared" si="9"/>
        <v>84</v>
      </c>
    </row>
    <row r="46" spans="1:15" x14ac:dyDescent="0.25">
      <c r="A46" s="62" t="s">
        <v>68</v>
      </c>
      <c r="B46" s="3">
        <f t="shared" ref="B46:D46" si="12">A8</f>
        <v>5</v>
      </c>
      <c r="C46" s="3">
        <f t="shared" si="12"/>
        <v>-6</v>
      </c>
      <c r="D46" s="55">
        <f t="shared" si="12"/>
        <v>27</v>
      </c>
      <c r="E46" s="59"/>
      <c r="F46" s="57">
        <f>ROUND((C46-16)/(INPUT!$D$8-16)*INPUT!$D$9,2)</f>
        <v>9.6999999999999993</v>
      </c>
      <c r="G46" s="37">
        <f>IF(C46&lt;$B$39,TREND(INDEX($E$34:$E$39,MATCH(C46,$B$34:$B$39,1)):INDEX($E$34:$E$39,MATCH(C46,$B$34:$B$39,1)+1),INDEX($B$34:$B$39,MATCH(C46,$B$34:$B$39,1)):INDEX($B$34:$B$39,MATCH(C46,$B$34:$B$39,1)+1),C46,TRUE),$E$39+(C46-$B$39)*($E$39-$G$63))</f>
        <v>9.6999999999999975</v>
      </c>
      <c r="H46" s="49">
        <f t="shared" si="5"/>
        <v>9.6999999999999975</v>
      </c>
      <c r="I46" s="3">
        <f t="shared" si="6"/>
        <v>0</v>
      </c>
      <c r="J46" s="3">
        <f t="shared" si="7"/>
        <v>0</v>
      </c>
      <c r="K46" s="37">
        <f>IF(C46&lt;$B$39,TREND(INDEX($I$34:$I$39,MATCH(C46,$B$34:$B$39,1)):INDEX($I$34:$I$39,MATCH(C46,$B$34:$B$39,1)+1),INDEX($B$34:$B$39,MATCH(C46,$B$34:$B$39,1)):INDEX($B$34:$B$39,MATCH(C46,$B$34:$B$39,1)+1),C46,TRUE),$I$39+(C46-$B$39)*($I$39-$K$63))</f>
        <v>3.2999999999999994</v>
      </c>
      <c r="L46" s="3">
        <f t="shared" si="3"/>
        <v>262</v>
      </c>
      <c r="M46" s="3">
        <f t="shared" si="8"/>
        <v>79</v>
      </c>
      <c r="N46" s="49">
        <f t="shared" si="9"/>
        <v>79</v>
      </c>
    </row>
    <row r="47" spans="1:15" x14ac:dyDescent="0.25">
      <c r="A47" s="62" t="str">
        <f t="shared" ref="A47:A65" si="13">IF(C47=$B$35,"A",IF(C47=$B$37,"B",IF(C47=$B$38,"Γ",IF(C47=$B$39,"Δ",""))))</f>
        <v/>
      </c>
      <c r="B47" s="3">
        <f t="shared" ref="B47:D47" si="14">A9</f>
        <v>6</v>
      </c>
      <c r="C47" s="3">
        <f t="shared" si="14"/>
        <v>-5</v>
      </c>
      <c r="D47" s="55">
        <f t="shared" si="14"/>
        <v>68</v>
      </c>
      <c r="E47" s="59"/>
      <c r="F47" s="57">
        <f>ROUND((C47-16)/(INPUT!$D$8-16)*INPUT!$D$9,2)</f>
        <v>9.26</v>
      </c>
      <c r="G47" s="37">
        <f>IF(C47&lt;$B$39,TREND(INDEX($E$34:$E$39,MATCH(C47,$B$34:$B$39,1)):INDEX($E$34:$E$39,MATCH(C47,$B$34:$B$39,1)+1),INDEX($B$34:$B$39,MATCH(C47,$B$34:$B$39,1)):INDEX($B$34:$B$39,MATCH(C47,$B$34:$B$39,1)+1),C47,TRUE),$E$39+(C47-$B$39)*($E$39-$G$63))</f>
        <v>9.8837499999999974</v>
      </c>
      <c r="H47" s="49">
        <f t="shared" si="5"/>
        <v>9.26</v>
      </c>
      <c r="I47" s="3">
        <f t="shared" si="6"/>
        <v>0</v>
      </c>
      <c r="J47" s="3">
        <f t="shared" si="7"/>
        <v>0</v>
      </c>
      <c r="K47" s="37">
        <f>IF(C47&lt;$B$39,TREND(INDEX($I$34:$I$39,MATCH(C47,$B$34:$B$39,1)):INDEX($I$34:$I$39,MATCH(C47,$B$34:$B$39,1)+1),INDEX($B$34:$B$39,MATCH(C47,$B$34:$B$39,1)):INDEX($B$34:$B$39,MATCH(C47,$B$34:$B$39,1)+1),C47,TRUE),$I$39+(C47-$B$39)*($I$39-$K$63))</f>
        <v>3.3496848739495793</v>
      </c>
      <c r="L47" s="3">
        <f t="shared" si="3"/>
        <v>630</v>
      </c>
      <c r="M47" s="3">
        <f t="shared" si="8"/>
        <v>188</v>
      </c>
      <c r="N47" s="49">
        <f t="shared" si="9"/>
        <v>188</v>
      </c>
    </row>
    <row r="48" spans="1:15" x14ac:dyDescent="0.25">
      <c r="A48" s="62" t="str">
        <f t="shared" si="13"/>
        <v/>
      </c>
      <c r="B48" s="3">
        <f t="shared" ref="B48:D48" si="15">A10</f>
        <v>7</v>
      </c>
      <c r="C48" s="3">
        <f t="shared" si="15"/>
        <v>-4</v>
      </c>
      <c r="D48" s="55">
        <f t="shared" si="15"/>
        <v>91</v>
      </c>
      <c r="E48" s="59"/>
      <c r="F48" s="57">
        <f>ROUND((C48-16)/(INPUT!$D$8-16)*INPUT!$D$9,2)</f>
        <v>8.82</v>
      </c>
      <c r="G48" s="37">
        <f>IF(C48&lt;$B$39,TREND(INDEX($E$34:$E$39,MATCH(C48,$B$34:$B$39,1)):INDEX($E$34:$E$39,MATCH(C48,$B$34:$B$39,1)+1),INDEX($B$34:$B$39,MATCH(C48,$B$34:$B$39,1)):INDEX($B$34:$B$39,MATCH(C48,$B$34:$B$39,1)+1),C48,TRUE),$E$39+(C48-$B$39)*($E$39-$G$63))</f>
        <v>10.067499999999997</v>
      </c>
      <c r="H48" s="49">
        <f t="shared" si="5"/>
        <v>8.82</v>
      </c>
      <c r="I48" s="3">
        <f t="shared" si="6"/>
        <v>0</v>
      </c>
      <c r="J48" s="3">
        <f t="shared" si="7"/>
        <v>0</v>
      </c>
      <c r="K48" s="37">
        <f>IF(C48&lt;$B$39,TREND(INDEX($I$34:$I$39,MATCH(C48,$B$34:$B$39,1)):INDEX($I$34:$I$39,MATCH(C48,$B$34:$B$39,1)+1),INDEX($B$34:$B$39,MATCH(C48,$B$34:$B$39,1)):INDEX($B$34:$B$39,MATCH(C48,$B$34:$B$39,1)+1),C48,TRUE),$I$39+(C48-$B$39)*($I$39-$K$63))</f>
        <v>3.3993697478991596</v>
      </c>
      <c r="L48" s="3">
        <f t="shared" si="3"/>
        <v>803</v>
      </c>
      <c r="M48" s="3">
        <f t="shared" si="8"/>
        <v>236</v>
      </c>
      <c r="N48" s="49">
        <f t="shared" si="9"/>
        <v>236</v>
      </c>
    </row>
    <row r="49" spans="1:14" x14ac:dyDescent="0.25">
      <c r="A49" s="62" t="str">
        <f t="shared" si="13"/>
        <v/>
      </c>
      <c r="B49" s="3">
        <f t="shared" ref="B49:D49" si="16">A11</f>
        <v>8</v>
      </c>
      <c r="C49" s="3">
        <f t="shared" si="16"/>
        <v>-3</v>
      </c>
      <c r="D49" s="55">
        <f t="shared" si="16"/>
        <v>89</v>
      </c>
      <c r="E49" s="59"/>
      <c r="F49" s="57">
        <f>ROUND((C49-16)/(INPUT!$D$8-16)*INPUT!$D$9,2)</f>
        <v>8.3699999999999992</v>
      </c>
      <c r="G49" s="37">
        <f>IF(C49&lt;$B$39,TREND(INDEX($E$34:$E$39,MATCH(C49,$B$34:$B$39,1)):INDEX($E$34:$E$39,MATCH(C49,$B$34:$B$39,1)+1),INDEX($B$34:$B$39,MATCH(C49,$B$34:$B$39,1)):INDEX($B$34:$B$39,MATCH(C49,$B$34:$B$39,1)+1),C49,TRUE),$E$39+(C49-$B$39)*($E$39-$G$63))</f>
        <v>10.251249999999999</v>
      </c>
      <c r="H49" s="49">
        <f t="shared" si="5"/>
        <v>8.3699999999999992</v>
      </c>
      <c r="I49" s="3">
        <f t="shared" si="6"/>
        <v>0</v>
      </c>
      <c r="J49" s="3">
        <f t="shared" si="7"/>
        <v>0</v>
      </c>
      <c r="K49" s="37">
        <f>IF(C49&lt;$B$39,TREND(INDEX($I$34:$I$39,MATCH(C49,$B$34:$B$39,1)):INDEX($I$34:$I$39,MATCH(C49,$B$34:$B$39,1)+1),INDEX($B$34:$B$39,MATCH(C49,$B$34:$B$39,1)):INDEX($B$34:$B$39,MATCH(C49,$B$34:$B$39,1)+1),C49,TRUE),$I$39+(C49-$B$39)*($I$39-$K$63))</f>
        <v>3.4490546218487395</v>
      </c>
      <c r="L49" s="3">
        <f t="shared" si="3"/>
        <v>745</v>
      </c>
      <c r="M49" s="3">
        <f t="shared" si="8"/>
        <v>216</v>
      </c>
      <c r="N49" s="49">
        <f t="shared" si="9"/>
        <v>216</v>
      </c>
    </row>
    <row r="50" spans="1:14" x14ac:dyDescent="0.25">
      <c r="A50" s="62" t="str">
        <f t="shared" si="13"/>
        <v/>
      </c>
      <c r="B50" s="3">
        <f t="shared" ref="B50:D50" si="17">A12</f>
        <v>9</v>
      </c>
      <c r="C50" s="3">
        <f t="shared" si="17"/>
        <v>-2</v>
      </c>
      <c r="D50" s="55">
        <f t="shared" si="17"/>
        <v>165</v>
      </c>
      <c r="E50" s="59"/>
      <c r="F50" s="57">
        <f>ROUND((C50-16)/(INPUT!$D$8-16)*INPUT!$D$9,2)</f>
        <v>7.93</v>
      </c>
      <c r="G50" s="37">
        <f>IF(C50&lt;$B$39,TREND(INDEX($E$34:$E$39,MATCH(C50,$B$34:$B$39,1)):INDEX($E$34:$E$39,MATCH(C50,$B$34:$B$39,1)+1),INDEX($B$34:$B$39,MATCH(C50,$B$34:$B$39,1)):INDEX($B$34:$B$39,MATCH(C50,$B$34:$B$39,1)+1),C50,TRUE),$E$39+(C50-$B$39)*($E$39-$G$63))</f>
        <v>10.434999999999999</v>
      </c>
      <c r="H50" s="49">
        <f t="shared" si="5"/>
        <v>7.93</v>
      </c>
      <c r="I50" s="3">
        <f t="shared" si="6"/>
        <v>0</v>
      </c>
      <c r="J50" s="3">
        <f t="shared" si="7"/>
        <v>0</v>
      </c>
      <c r="K50" s="37">
        <f>IF(C50&lt;$B$39,TREND(INDEX($I$34:$I$39,MATCH(C50,$B$34:$B$39,1)):INDEX($I$34:$I$39,MATCH(C50,$B$34:$B$39,1)+1),INDEX($B$34:$B$39,MATCH(C50,$B$34:$B$39,1)):INDEX($B$34:$B$39,MATCH(C50,$B$34:$B$39,1)+1),C50,TRUE),$I$39+(C50-$B$39)*($I$39-$K$63))</f>
        <v>3.4987394957983193</v>
      </c>
      <c r="L50" s="3">
        <f t="shared" si="3"/>
        <v>1308</v>
      </c>
      <c r="M50" s="3">
        <f t="shared" si="8"/>
        <v>374</v>
      </c>
      <c r="N50" s="49">
        <f t="shared" si="9"/>
        <v>374</v>
      </c>
    </row>
    <row r="51" spans="1:14" x14ac:dyDescent="0.25">
      <c r="A51" s="62" t="str">
        <f t="shared" si="13"/>
        <v/>
      </c>
      <c r="B51" s="3">
        <f t="shared" ref="B51:D51" si="18">A13</f>
        <v>10</v>
      </c>
      <c r="C51" s="3">
        <f t="shared" si="18"/>
        <v>-1</v>
      </c>
      <c r="D51" s="55">
        <f t="shared" si="18"/>
        <v>173</v>
      </c>
      <c r="E51" s="59"/>
      <c r="F51" s="57">
        <f>ROUND((C51-16)/(INPUT!$D$8-16)*INPUT!$D$9,2)</f>
        <v>7.49</v>
      </c>
      <c r="G51" s="37">
        <f>IF(C51&lt;$B$39,TREND(INDEX($E$34:$E$39,MATCH(C51,$B$34:$B$39,1)):INDEX($E$34:$E$39,MATCH(C51,$B$34:$B$39,1)+1),INDEX($B$34:$B$39,MATCH(C51,$B$34:$B$39,1)):INDEX($B$34:$B$39,MATCH(C51,$B$34:$B$39,1)+1),C51,TRUE),$E$39+(C51-$B$39)*($E$39-$G$63))</f>
        <v>10.618749999999999</v>
      </c>
      <c r="H51" s="49">
        <f t="shared" si="5"/>
        <v>7.49</v>
      </c>
      <c r="I51" s="3">
        <f t="shared" si="6"/>
        <v>0</v>
      </c>
      <c r="J51" s="3">
        <f t="shared" si="7"/>
        <v>0</v>
      </c>
      <c r="K51" s="37">
        <f>IF(C51&lt;$B$39,TREND(INDEX($I$34:$I$39,MATCH(C51,$B$34:$B$39,1)):INDEX($I$34:$I$39,MATCH(C51,$B$34:$B$39,1)+1),INDEX($B$34:$B$39,MATCH(C51,$B$34:$B$39,1)):INDEX($B$34:$B$39,MATCH(C51,$B$34:$B$39,1)+1),C51,TRUE),$I$39+(C51-$B$39)*($I$39-$K$63))</f>
        <v>3.5484243697478992</v>
      </c>
      <c r="L51" s="3">
        <f t="shared" si="3"/>
        <v>1296</v>
      </c>
      <c r="M51" s="3">
        <f t="shared" si="8"/>
        <v>365</v>
      </c>
      <c r="N51" s="49">
        <f t="shared" si="9"/>
        <v>365</v>
      </c>
    </row>
    <row r="52" spans="1:14" x14ac:dyDescent="0.25">
      <c r="A52" s="62" t="str">
        <f t="shared" si="13"/>
        <v/>
      </c>
      <c r="B52" s="3">
        <f t="shared" ref="B52:D52" si="19">A14</f>
        <v>11</v>
      </c>
      <c r="C52" s="3">
        <f t="shared" si="19"/>
        <v>0</v>
      </c>
      <c r="D52" s="55">
        <f t="shared" si="19"/>
        <v>240</v>
      </c>
      <c r="E52" s="59"/>
      <c r="F52" s="57">
        <f>ROUND((C52-16)/(INPUT!$D$8-16)*INPUT!$D$9,2)</f>
        <v>7.05</v>
      </c>
      <c r="G52" s="37">
        <f>IF(C52&lt;$B$39,TREND(INDEX($E$34:$E$39,MATCH(C52,$B$34:$B$39,1)):INDEX($E$34:$E$39,MATCH(C52,$B$34:$B$39,1)+1),INDEX($B$34:$B$39,MATCH(C52,$B$34:$B$39,1)):INDEX($B$34:$B$39,MATCH(C52,$B$34:$B$39,1)+1),C52,TRUE),$E$39+(C52-$B$39)*($E$39-$G$63))</f>
        <v>10.802499999999998</v>
      </c>
      <c r="H52" s="49">
        <f t="shared" si="5"/>
        <v>7.05</v>
      </c>
      <c r="I52" s="3">
        <f t="shared" si="6"/>
        <v>0</v>
      </c>
      <c r="J52" s="3">
        <f t="shared" si="7"/>
        <v>0</v>
      </c>
      <c r="K52" s="37">
        <f>IF(C52&lt;$B$39,TREND(INDEX($I$34:$I$39,MATCH(C52,$B$34:$B$39,1)):INDEX($I$34:$I$39,MATCH(C52,$B$34:$B$39,1)+1),INDEX($B$34:$B$39,MATCH(C52,$B$34:$B$39,1)):INDEX($B$34:$B$39,MATCH(C52,$B$34:$B$39,1)+1),C52,TRUE),$I$39+(C52-$B$39)*($I$39-$K$63))</f>
        <v>3.5981092436974791</v>
      </c>
      <c r="L52" s="3">
        <f t="shared" si="3"/>
        <v>1692</v>
      </c>
      <c r="M52" s="3">
        <f t="shared" si="8"/>
        <v>470</v>
      </c>
      <c r="N52" s="49">
        <f t="shared" si="9"/>
        <v>470</v>
      </c>
    </row>
    <row r="53" spans="1:14" x14ac:dyDescent="0.25">
      <c r="A53" s="62" t="str">
        <f t="shared" si="13"/>
        <v/>
      </c>
      <c r="B53" s="3">
        <f t="shared" ref="B53:D53" si="20">A15</f>
        <v>12</v>
      </c>
      <c r="C53" s="3">
        <f t="shared" si="20"/>
        <v>1</v>
      </c>
      <c r="D53" s="55">
        <f t="shared" si="20"/>
        <v>280</v>
      </c>
      <c r="E53" s="59"/>
      <c r="F53" s="57">
        <f>ROUND((C53-16)/(INPUT!$D$8-16)*INPUT!$D$9,2)</f>
        <v>6.61</v>
      </c>
      <c r="G53" s="37">
        <f>IF(C53&lt;$B$39,TREND(INDEX($E$34:$E$39,MATCH(C53,$B$34:$B$39,1)):INDEX($E$34:$E$39,MATCH(C53,$B$34:$B$39,1)+1),INDEX($B$34:$B$39,MATCH(C53,$B$34:$B$39,1)):INDEX($B$34:$B$39,MATCH(C53,$B$34:$B$39,1)+1),C53,TRUE),$E$39+(C53-$B$39)*($E$39-$G$63))</f>
        <v>10.986249999999998</v>
      </c>
      <c r="H53" s="49">
        <f t="shared" si="5"/>
        <v>6.61</v>
      </c>
      <c r="I53" s="3">
        <f t="shared" si="6"/>
        <v>0</v>
      </c>
      <c r="J53" s="3">
        <f t="shared" si="7"/>
        <v>0</v>
      </c>
      <c r="K53" s="37">
        <f>IF(C53&lt;$B$39,TREND(INDEX($I$34:$I$39,MATCH(C53,$B$34:$B$39,1)):INDEX($I$34:$I$39,MATCH(C53,$B$34:$B$39,1)+1),INDEX($B$34:$B$39,MATCH(C53,$B$34:$B$39,1)):INDEX($B$34:$B$39,MATCH(C53,$B$34:$B$39,1)+1),C53,TRUE),$I$39+(C53-$B$39)*($I$39-$K$63))</f>
        <v>3.647794117647059</v>
      </c>
      <c r="L53" s="3">
        <f t="shared" si="3"/>
        <v>1851</v>
      </c>
      <c r="M53" s="3">
        <f t="shared" si="8"/>
        <v>507</v>
      </c>
      <c r="N53" s="49">
        <f t="shared" si="9"/>
        <v>507</v>
      </c>
    </row>
    <row r="54" spans="1:14" x14ac:dyDescent="0.25">
      <c r="A54" s="62" t="str">
        <f t="shared" si="13"/>
        <v>B</v>
      </c>
      <c r="B54" s="3">
        <f t="shared" ref="B54:D54" si="21">A16</f>
        <v>13</v>
      </c>
      <c r="C54" s="3">
        <f t="shared" si="21"/>
        <v>2</v>
      </c>
      <c r="D54" s="55">
        <f t="shared" si="21"/>
        <v>320</v>
      </c>
      <c r="E54" s="59"/>
      <c r="F54" s="57">
        <f>ROUND((C54-16)/(INPUT!$D$8-16)*INPUT!$D$9,2)</f>
        <v>6.17</v>
      </c>
      <c r="G54" s="37">
        <f>IF(C54&lt;$B$39,TREND(INDEX($E$34:$E$39,MATCH(C54,$B$34:$B$39,1)):INDEX($E$34:$E$39,MATCH(C54,$B$34:$B$39,1)+1),INDEX($B$34:$B$39,MATCH(C54,$B$34:$B$39,1)):INDEX($B$34:$B$39,MATCH(C54,$B$34:$B$39,1)+1),C54,TRUE),$E$39+(C54-$B$39)*($E$39-$G$63))</f>
        <v>11.169999999999998</v>
      </c>
      <c r="H54" s="49">
        <f t="shared" si="5"/>
        <v>6.17</v>
      </c>
      <c r="I54" s="3">
        <f t="shared" si="6"/>
        <v>0</v>
      </c>
      <c r="J54" s="3">
        <f t="shared" si="7"/>
        <v>0</v>
      </c>
      <c r="K54" s="37">
        <f>IF(C54&lt;$B$39,TREND(INDEX($I$34:$I$39,MATCH(C54,$B$34:$B$39,1)):INDEX($I$34:$I$39,MATCH(C54,$B$34:$B$39,1)+1),INDEX($B$34:$B$39,MATCH(C54,$B$34:$B$39,1)):INDEX($B$34:$B$39,MATCH(C54,$B$34:$B$39,1)+1),C54,TRUE),$I$39+(C54-$B$39)*($I$39-$K$63))</f>
        <v>3.6974789915966393</v>
      </c>
      <c r="L54" s="3">
        <f t="shared" si="3"/>
        <v>1974</v>
      </c>
      <c r="M54" s="3">
        <f t="shared" si="8"/>
        <v>534</v>
      </c>
      <c r="N54" s="49">
        <f t="shared" si="9"/>
        <v>534</v>
      </c>
    </row>
    <row r="55" spans="1:14" x14ac:dyDescent="0.25">
      <c r="A55" s="62" t="str">
        <f t="shared" si="13"/>
        <v/>
      </c>
      <c r="B55" s="3">
        <f t="shared" ref="B55:D55" si="22">A17</f>
        <v>14</v>
      </c>
      <c r="C55" s="3">
        <f t="shared" si="22"/>
        <v>3</v>
      </c>
      <c r="D55" s="55">
        <f t="shared" si="22"/>
        <v>357</v>
      </c>
      <c r="E55" s="59"/>
      <c r="F55" s="57">
        <f>ROUND((C55-16)/(INPUT!$D$8-16)*INPUT!$D$9,2)</f>
        <v>5.73</v>
      </c>
      <c r="G55" s="37">
        <f>IF(C55&lt;$B$39,TREND(INDEX($E$34:$E$39,MATCH(C55,$B$34:$B$39,1)):INDEX($E$34:$E$39,MATCH(C55,$B$34:$B$39,1)+1),INDEX($B$34:$B$39,MATCH(C55,$B$34:$B$39,1)):INDEX($B$34:$B$39,MATCH(C55,$B$34:$B$39,1)+1),C55,TRUE),$E$39+(C55-$B$39)*($E$39-$G$63))</f>
        <v>11.467999999999998</v>
      </c>
      <c r="H55" s="49">
        <f t="shared" si="5"/>
        <v>5.73</v>
      </c>
      <c r="I55" s="3">
        <f t="shared" si="6"/>
        <v>0</v>
      </c>
      <c r="J55" s="3">
        <f t="shared" si="7"/>
        <v>0</v>
      </c>
      <c r="K55" s="37">
        <f>IF(C55&lt;$B$39,TREND(INDEX($I$34:$I$39,MATCH(C55,$B$34:$B$39,1)):INDEX($I$34:$I$39,MATCH(C55,$B$34:$B$39,1)+1),INDEX($B$34:$B$39,MATCH(C55,$B$34:$B$39,1)):INDEX($B$34:$B$39,MATCH(C55,$B$34:$B$39,1)+1),C55,TRUE),$I$39+(C55-$B$39)*($I$39-$K$63))</f>
        <v>3.7612021906387891</v>
      </c>
      <c r="L55" s="3">
        <f t="shared" si="3"/>
        <v>2046</v>
      </c>
      <c r="M55" s="3">
        <f t="shared" si="8"/>
        <v>544</v>
      </c>
      <c r="N55" s="49">
        <f t="shared" si="9"/>
        <v>544</v>
      </c>
    </row>
    <row r="56" spans="1:14" x14ac:dyDescent="0.25">
      <c r="A56" s="62" t="str">
        <f t="shared" si="13"/>
        <v/>
      </c>
      <c r="B56" s="3">
        <f t="shared" ref="B56:D56" si="23">A18</f>
        <v>15</v>
      </c>
      <c r="C56" s="3">
        <f t="shared" si="23"/>
        <v>4</v>
      </c>
      <c r="D56" s="55">
        <f t="shared" si="23"/>
        <v>356</v>
      </c>
      <c r="E56" s="59"/>
      <c r="F56" s="57">
        <f>ROUND((C56-16)/(INPUT!$D$8-16)*INPUT!$D$9,2)</f>
        <v>5.29</v>
      </c>
      <c r="G56" s="37">
        <f>IF(C56&lt;$B$39,TREND(INDEX($E$34:$E$39,MATCH(C56,$B$34:$B$39,1)):INDEX($E$34:$E$39,MATCH(C56,$B$34:$B$39,1)+1),INDEX($B$34:$B$39,MATCH(C56,$B$34:$B$39,1)):INDEX($B$34:$B$39,MATCH(C56,$B$34:$B$39,1)+1),C56,TRUE),$E$39+(C56-$B$39)*($E$39-$G$63))</f>
        <v>11.765999999999998</v>
      </c>
      <c r="H56" s="49">
        <f t="shared" si="5"/>
        <v>5.29</v>
      </c>
      <c r="I56" s="3">
        <f t="shared" si="6"/>
        <v>0</v>
      </c>
      <c r="J56" s="3">
        <f t="shared" si="7"/>
        <v>0</v>
      </c>
      <c r="K56" s="37">
        <f>IF(C56&lt;$B$39,TREND(INDEX($I$34:$I$39,MATCH(C56,$B$34:$B$39,1)):INDEX($I$34:$I$39,MATCH(C56,$B$34:$B$39,1)+1),INDEX($B$34:$B$39,MATCH(C56,$B$34:$B$39,1)):INDEX($B$34:$B$39,MATCH(C56,$B$34:$B$39,1)+1),C56,TRUE),$I$39+(C56-$B$39)*($I$39-$K$63))</f>
        <v>3.8249253896809385</v>
      </c>
      <c r="L56" s="3">
        <f t="shared" si="3"/>
        <v>1883</v>
      </c>
      <c r="M56" s="3">
        <f t="shared" si="8"/>
        <v>492</v>
      </c>
      <c r="N56" s="49">
        <f t="shared" si="9"/>
        <v>492</v>
      </c>
    </row>
    <row r="57" spans="1:14" x14ac:dyDescent="0.25">
      <c r="A57" s="62" t="str">
        <f t="shared" si="13"/>
        <v/>
      </c>
      <c r="B57" s="3">
        <f t="shared" ref="B57:D57" si="24">A19</f>
        <v>16</v>
      </c>
      <c r="C57" s="3">
        <f t="shared" si="24"/>
        <v>5</v>
      </c>
      <c r="D57" s="55">
        <f t="shared" si="24"/>
        <v>303</v>
      </c>
      <c r="E57" s="59"/>
      <c r="F57" s="57">
        <f>ROUND((C57-16)/(INPUT!$D$8-16)*INPUT!$D$9,2)</f>
        <v>4.8499999999999996</v>
      </c>
      <c r="G57" s="37">
        <f>IF(C57&lt;$B$39,TREND(INDEX($E$34:$E$39,MATCH(C57,$B$34:$B$39,1)):INDEX($E$34:$E$39,MATCH(C57,$B$34:$B$39,1)+1),INDEX($B$34:$B$39,MATCH(C57,$B$34:$B$39,1)):INDEX($B$34:$B$39,MATCH(C57,$B$34:$B$39,1)+1),C57,TRUE),$E$39+(C57-$B$39)*($E$39-$G$63))</f>
        <v>12.063999999999998</v>
      </c>
      <c r="H57" s="49">
        <f t="shared" si="5"/>
        <v>4.8499999999999996</v>
      </c>
      <c r="I57" s="3">
        <f t="shared" si="6"/>
        <v>0</v>
      </c>
      <c r="J57" s="3">
        <f t="shared" si="7"/>
        <v>0</v>
      </c>
      <c r="K57" s="37">
        <f>IF(C57&lt;$B$39,TREND(INDEX($I$34:$I$39,MATCH(C57,$B$34:$B$39,1)):INDEX($I$34:$I$39,MATCH(C57,$B$34:$B$39,1)+1),INDEX($B$34:$B$39,MATCH(C57,$B$34:$B$39,1)):INDEX($B$34:$B$39,MATCH(C57,$B$34:$B$39,1)+1),C57,TRUE),$I$39+(C57-$B$39)*($I$39-$K$63))</f>
        <v>3.8886485887230884</v>
      </c>
      <c r="L57" s="3">
        <f t="shared" si="3"/>
        <v>1470</v>
      </c>
      <c r="M57" s="3">
        <f t="shared" si="8"/>
        <v>378</v>
      </c>
      <c r="N57" s="49">
        <f t="shared" si="9"/>
        <v>378</v>
      </c>
    </row>
    <row r="58" spans="1:14" x14ac:dyDescent="0.25">
      <c r="A58" s="62" t="str">
        <f t="shared" si="13"/>
        <v/>
      </c>
      <c r="B58" s="3">
        <f t="shared" ref="B58:D58" si="25">A20</f>
        <v>17</v>
      </c>
      <c r="C58" s="3">
        <f t="shared" si="25"/>
        <v>6</v>
      </c>
      <c r="D58" s="55">
        <f t="shared" si="25"/>
        <v>330</v>
      </c>
      <c r="E58" s="59"/>
      <c r="F58" s="57">
        <f>ROUND((C58-16)/(INPUT!$D$8-16)*INPUT!$D$9,2)</f>
        <v>4.41</v>
      </c>
      <c r="G58" s="37">
        <f>IF(C58&lt;$B$39,TREND(INDEX($E$34:$E$39,MATCH(C58,$B$34:$B$39,1)):INDEX($E$34:$E$39,MATCH(C58,$B$34:$B$39,1)+1),INDEX($B$34:$B$39,MATCH(C58,$B$34:$B$39,1)):INDEX($B$34:$B$39,MATCH(C58,$B$34:$B$39,1)+1),C58,TRUE),$E$39+(C58-$B$39)*($E$39-$G$63))</f>
        <v>12.361999999999998</v>
      </c>
      <c r="H58" s="49">
        <f t="shared" si="5"/>
        <v>4.41</v>
      </c>
      <c r="I58" s="3">
        <f t="shared" si="6"/>
        <v>0</v>
      </c>
      <c r="J58" s="3">
        <f t="shared" si="7"/>
        <v>0</v>
      </c>
      <c r="K58" s="37">
        <f>IF(C58&lt;$B$39,TREND(INDEX($I$34:$I$39,MATCH(C58,$B$34:$B$39,1)):INDEX($I$34:$I$39,MATCH(C58,$B$34:$B$39,1)+1),INDEX($B$34:$B$39,MATCH(C58,$B$34:$B$39,1)):INDEX($B$34:$B$39,MATCH(C58,$B$34:$B$39,1)+1),C58,TRUE),$I$39+(C58-$B$39)*($I$39-$K$63))</f>
        <v>3.9523717877652378</v>
      </c>
      <c r="L58" s="3">
        <f t="shared" si="3"/>
        <v>1455</v>
      </c>
      <c r="M58" s="3">
        <f t="shared" si="8"/>
        <v>368</v>
      </c>
      <c r="N58" s="49">
        <f t="shared" si="9"/>
        <v>368</v>
      </c>
    </row>
    <row r="59" spans="1:14" x14ac:dyDescent="0.25">
      <c r="A59" s="62" t="str">
        <f t="shared" si="13"/>
        <v>Γ</v>
      </c>
      <c r="B59" s="3">
        <f t="shared" ref="B59:D59" si="26">A21</f>
        <v>18</v>
      </c>
      <c r="C59" s="3">
        <f t="shared" si="26"/>
        <v>7</v>
      </c>
      <c r="D59" s="55">
        <f t="shared" si="26"/>
        <v>326</v>
      </c>
      <c r="E59" s="59"/>
      <c r="F59" s="57">
        <f>ROUND((C59-16)/(INPUT!$D$8-16)*INPUT!$D$9,2)</f>
        <v>3.97</v>
      </c>
      <c r="G59" s="37">
        <f>IF(C59&lt;$B$39,TREND(INDEX($E$34:$E$39,MATCH(C59,$B$34:$B$39,1)):INDEX($E$34:$E$39,MATCH(C59,$B$34:$B$39,1)+1),INDEX($B$34:$B$39,MATCH(C59,$B$34:$B$39,1)):INDEX($B$34:$B$39,MATCH(C59,$B$34:$B$39,1)+1),C59,TRUE),$E$39+(C59-$B$39)*($E$39-$G$63))</f>
        <v>12.66</v>
      </c>
      <c r="H59" s="49">
        <f t="shared" si="5"/>
        <v>3.97</v>
      </c>
      <c r="I59" s="3">
        <f t="shared" si="6"/>
        <v>0</v>
      </c>
      <c r="J59" s="3">
        <f t="shared" si="7"/>
        <v>0</v>
      </c>
      <c r="K59" s="37">
        <f>IF(C59&lt;$B$39,TREND(INDEX($I$34:$I$39,MATCH(C59,$B$34:$B$39,1)):INDEX($I$34:$I$39,MATCH(C59,$B$34:$B$39,1)+1),INDEX($B$34:$B$39,MATCH(C59,$B$34:$B$39,1)):INDEX($B$34:$B$39,MATCH(C59,$B$34:$B$39,1)+1),C59,TRUE),$I$39+(C59-$B$39)*($I$39-$K$63))</f>
        <v>4.0160949868073876</v>
      </c>
      <c r="L59" s="3">
        <f t="shared" si="3"/>
        <v>1294</v>
      </c>
      <c r="M59" s="3">
        <f t="shared" si="8"/>
        <v>322</v>
      </c>
      <c r="N59" s="49">
        <f t="shared" si="9"/>
        <v>322</v>
      </c>
    </row>
    <row r="60" spans="1:14" x14ac:dyDescent="0.25">
      <c r="A60" s="62" t="str">
        <f t="shared" si="13"/>
        <v/>
      </c>
      <c r="B60" s="3">
        <f t="shared" ref="B60:D60" si="27">A22</f>
        <v>19</v>
      </c>
      <c r="C60" s="3">
        <f t="shared" si="27"/>
        <v>8</v>
      </c>
      <c r="D60" s="55">
        <f t="shared" si="27"/>
        <v>348</v>
      </c>
      <c r="E60" s="59"/>
      <c r="F60" s="57">
        <f>ROUND((C60-16)/(INPUT!$D$8-16)*INPUT!$D$9,2)</f>
        <v>3.53</v>
      </c>
      <c r="G60" s="37">
        <f>IF(C60&lt;$B$39,TREND(INDEX($E$34:$E$39,MATCH(C60,$B$34:$B$39,1)):INDEX($E$34:$E$39,MATCH(C60,$B$34:$B$39,1)+1),INDEX($B$34:$B$39,MATCH(C60,$B$34:$B$39,1)):INDEX($B$34:$B$39,MATCH(C60,$B$34:$B$39,1)+1),C60,TRUE),$E$39+(C60-$B$39)*($E$39-$G$63))</f>
        <v>12.988000000000001</v>
      </c>
      <c r="H60" s="49">
        <f t="shared" si="5"/>
        <v>3.53</v>
      </c>
      <c r="I60" s="3">
        <f t="shared" si="6"/>
        <v>0</v>
      </c>
      <c r="J60" s="3">
        <f t="shared" si="7"/>
        <v>0</v>
      </c>
      <c r="K60" s="37">
        <f>IF(C60&lt;$B$39,TREND(INDEX($I$34:$I$39,MATCH(C60,$B$34:$B$39,1)):INDEX($I$34:$I$39,MATCH(C60,$B$34:$B$39,1)+1),INDEX($B$34:$B$39,MATCH(C60,$B$34:$B$39,1)):INDEX($B$34:$B$39,MATCH(C60,$B$34:$B$39,1)+1),C60,TRUE),$I$39+(C60-$B$39)*($I$39-$K$63))</f>
        <v>3.847491374061295</v>
      </c>
      <c r="L60" s="3">
        <f t="shared" si="3"/>
        <v>1228</v>
      </c>
      <c r="M60" s="3">
        <f t="shared" si="8"/>
        <v>319</v>
      </c>
      <c r="N60" s="49">
        <f t="shared" si="9"/>
        <v>319</v>
      </c>
    </row>
    <row r="61" spans="1:14" x14ac:dyDescent="0.25">
      <c r="A61" s="62" t="str">
        <f t="shared" si="13"/>
        <v/>
      </c>
      <c r="B61" s="3">
        <f t="shared" ref="B61:D61" si="28">A23</f>
        <v>20</v>
      </c>
      <c r="C61" s="3">
        <f t="shared" si="28"/>
        <v>9</v>
      </c>
      <c r="D61" s="55">
        <f t="shared" si="28"/>
        <v>335</v>
      </c>
      <c r="E61" s="59"/>
      <c r="F61" s="57">
        <f>ROUND((C61-16)/(INPUT!$D$8-16)*INPUT!$D$9,2)</f>
        <v>3.09</v>
      </c>
      <c r="G61" s="37">
        <f>IF(C61&lt;$B$39,TREND(INDEX($E$34:$E$39,MATCH(C61,$B$34:$B$39,1)):INDEX($E$34:$E$39,MATCH(C61,$B$34:$B$39,1)+1),INDEX($B$34:$B$39,MATCH(C61,$B$34:$B$39,1)):INDEX($B$34:$B$39,MATCH(C61,$B$34:$B$39,1)+1),C61,TRUE),$E$39+(C61-$B$39)*($E$39-$G$63))</f>
        <v>13.316000000000003</v>
      </c>
      <c r="H61" s="49">
        <f t="shared" si="5"/>
        <v>3.09</v>
      </c>
      <c r="I61" s="3">
        <f t="shared" si="6"/>
        <v>0</v>
      </c>
      <c r="J61" s="3">
        <f t="shared" si="7"/>
        <v>0</v>
      </c>
      <c r="K61" s="37">
        <f>IF(C61&lt;$B$39,TREND(INDEX($I$34:$I$39,MATCH(C61,$B$34:$B$39,1)):INDEX($I$34:$I$39,MATCH(C61,$B$34:$B$39,1)+1),INDEX($B$34:$B$39,MATCH(C61,$B$34:$B$39,1)):INDEX($B$34:$B$39,MATCH(C61,$B$34:$B$39,1)+1),C61,TRUE),$I$39+(C61-$B$39)*($I$39-$K$63))</f>
        <v>3.6788877613152025</v>
      </c>
      <c r="L61" s="3">
        <f t="shared" si="3"/>
        <v>1035</v>
      </c>
      <c r="M61" s="3">
        <f t="shared" si="8"/>
        <v>281</v>
      </c>
      <c r="N61" s="49">
        <f t="shared" si="9"/>
        <v>281</v>
      </c>
    </row>
    <row r="62" spans="1:14" x14ac:dyDescent="0.25">
      <c r="A62" s="62" t="str">
        <f t="shared" si="13"/>
        <v/>
      </c>
      <c r="B62" s="3">
        <f t="shared" ref="B62:D62" si="29">A24</f>
        <v>21</v>
      </c>
      <c r="C62" s="3">
        <f t="shared" si="29"/>
        <v>10</v>
      </c>
      <c r="D62" s="55">
        <f t="shared" si="29"/>
        <v>315</v>
      </c>
      <c r="E62" s="59"/>
      <c r="F62" s="57">
        <f>ROUND((C62-16)/(INPUT!$D$8-16)*INPUT!$D$9,2)</f>
        <v>2.64</v>
      </c>
      <c r="G62" s="37">
        <f>IF(C62&lt;$B$39,TREND(INDEX($E$34:$E$39,MATCH(C62,$B$34:$B$39,1)):INDEX($E$34:$E$39,MATCH(C62,$B$34:$B$39,1)+1),INDEX($B$34:$B$39,MATCH(C62,$B$34:$B$39,1)):INDEX($B$34:$B$39,MATCH(C62,$B$34:$B$39,1)+1),C62,TRUE),$E$39+(C62-$B$39)*($E$39-$G$63))</f>
        <v>13.644000000000002</v>
      </c>
      <c r="H62" s="49">
        <f t="shared" si="5"/>
        <v>2.64</v>
      </c>
      <c r="I62" s="3">
        <f t="shared" si="6"/>
        <v>0</v>
      </c>
      <c r="J62" s="3">
        <f t="shared" si="7"/>
        <v>0</v>
      </c>
      <c r="K62" s="37">
        <f>IF(C62&lt;$B$39,TREND(INDEX($I$34:$I$39,MATCH(C62,$B$34:$B$39,1)):INDEX($I$34:$I$39,MATCH(C62,$B$34:$B$39,1)+1),INDEX($B$34:$B$39,MATCH(C62,$B$34:$B$39,1)):INDEX($B$34:$B$39,MATCH(C62,$B$34:$B$39,1)+1),C62,TRUE),$I$39+(C62-$B$39)*($I$39-$K$63))</f>
        <v>3.5102841485691094</v>
      </c>
      <c r="L62" s="3">
        <f t="shared" si="3"/>
        <v>832</v>
      </c>
      <c r="M62" s="3">
        <f t="shared" si="8"/>
        <v>237</v>
      </c>
      <c r="N62" s="49">
        <f t="shared" si="9"/>
        <v>237</v>
      </c>
    </row>
    <row r="63" spans="1:14" x14ac:dyDescent="0.25">
      <c r="A63" s="62" t="str">
        <f t="shared" si="13"/>
        <v/>
      </c>
      <c r="B63" s="3">
        <f t="shared" ref="B63:D63" si="30">A25</f>
        <v>22</v>
      </c>
      <c r="C63" s="3">
        <f t="shared" si="30"/>
        <v>11</v>
      </c>
      <c r="D63" s="55">
        <f t="shared" si="30"/>
        <v>215</v>
      </c>
      <c r="E63" s="59"/>
      <c r="F63" s="57">
        <f>ROUND((C63-16)/(INPUT!$D$8-16)*INPUT!$D$9,2)</f>
        <v>2.2000000000000002</v>
      </c>
      <c r="G63" s="37">
        <f>IF(C63&lt;$B$39,TREND(INDEX($E$34:$E$39,MATCH(C63,$B$34:$B$39,1)):INDEX($E$34:$E$39,MATCH(C63,$B$34:$B$39,1)+1),INDEX($B$34:$B$39,MATCH(C63,$B$34:$B$39,1)):INDEX($B$34:$B$39,MATCH(C63,$B$34:$B$39,1)+1),C63,TRUE),$E$39+(C63-$B$39)*($E$39-$G$63))</f>
        <v>13.972000000000001</v>
      </c>
      <c r="H63" s="49">
        <f t="shared" si="5"/>
        <v>2.2000000000000002</v>
      </c>
      <c r="I63" s="3">
        <f t="shared" si="6"/>
        <v>0</v>
      </c>
      <c r="J63" s="3">
        <f t="shared" si="7"/>
        <v>0</v>
      </c>
      <c r="K63" s="37">
        <f>IF(C63&lt;$B$39,TREND(INDEX($I$34:$I$39,MATCH(C63,$B$34:$B$39,1)):INDEX($I$34:$I$39,MATCH(C63,$B$34:$B$39,1)+1),INDEX($B$34:$B$39,MATCH(C63,$B$34:$B$39,1)):INDEX($B$34:$B$39,MATCH(C63,$B$34:$B$39,1)+1),C63,TRUE),$I$39+(C63-$B$39)*($I$39-$K$63))</f>
        <v>3.3416805358230164</v>
      </c>
      <c r="L63" s="3">
        <f t="shared" si="3"/>
        <v>473</v>
      </c>
      <c r="M63" s="3">
        <f t="shared" si="8"/>
        <v>142</v>
      </c>
      <c r="N63" s="49">
        <f t="shared" si="9"/>
        <v>142</v>
      </c>
    </row>
    <row r="64" spans="1:14" x14ac:dyDescent="0.25">
      <c r="A64" s="62" t="str">
        <f t="shared" si="13"/>
        <v>Δ</v>
      </c>
      <c r="B64" s="3">
        <f t="shared" ref="B64:D64" si="31">A26</f>
        <v>23</v>
      </c>
      <c r="C64" s="3">
        <f t="shared" si="31"/>
        <v>12</v>
      </c>
      <c r="D64" s="55">
        <f t="shared" si="31"/>
        <v>169</v>
      </c>
      <c r="E64" s="59"/>
      <c r="F64" s="57">
        <f>ROUND((C64-16)/(INPUT!$D$8-16)*INPUT!$D$9,2)</f>
        <v>1.76</v>
      </c>
      <c r="G64" s="37">
        <f>IF(C64&lt;$B$39,TREND(INDEX($E$34:$E$39,MATCH(C64,$B$34:$B$39,1)):INDEX($E$34:$E$39,MATCH(C64,$B$34:$B$39,1)+1),INDEX($B$34:$B$39,MATCH(C64,$B$34:$B$39,1)):INDEX($B$34:$B$39,MATCH(C64,$B$34:$B$39,1)+1),C64,TRUE),$E$39+(C64-$B$39)*($E$39-$G$63))</f>
        <v>14.3</v>
      </c>
      <c r="H64" s="49">
        <f t="shared" si="5"/>
        <v>1.76</v>
      </c>
      <c r="I64" s="3">
        <f t="shared" si="6"/>
        <v>0</v>
      </c>
      <c r="J64" s="3">
        <f t="shared" si="7"/>
        <v>0</v>
      </c>
      <c r="K64" s="37">
        <f>IF(C64&lt;$B$39,TREND(INDEX($I$34:$I$39,MATCH(C64,$B$34:$B$39,1)):INDEX($I$34:$I$39,MATCH(C64,$B$34:$B$39,1)+1),INDEX($B$34:$B$39,MATCH(C64,$B$34:$B$39,1)):INDEX($B$34:$B$39,MATCH(C64,$B$34:$B$39,1)+1),C64,TRUE),$I$39+(C64-$B$39)*($I$39-$K$63))</f>
        <v>3.1730769230769234</v>
      </c>
      <c r="L64" s="3">
        <f t="shared" si="3"/>
        <v>297</v>
      </c>
      <c r="M64" s="3">
        <f t="shared" si="8"/>
        <v>94</v>
      </c>
      <c r="N64" s="49">
        <f t="shared" si="9"/>
        <v>94</v>
      </c>
    </row>
    <row r="65" spans="1:14" x14ac:dyDescent="0.25">
      <c r="A65" s="1" t="str">
        <f t="shared" si="13"/>
        <v/>
      </c>
      <c r="B65" s="3">
        <f t="shared" ref="B65:D65" si="32">A27</f>
        <v>24</v>
      </c>
      <c r="C65" s="3">
        <f t="shared" si="32"/>
        <v>13</v>
      </c>
      <c r="D65" s="55">
        <f t="shared" si="32"/>
        <v>151</v>
      </c>
      <c r="E65" s="59"/>
      <c r="F65" s="57">
        <f>ROUND((C65-16)/(INPUT!$D$8-16)*INPUT!$D$9,2)</f>
        <v>1.32</v>
      </c>
      <c r="G65" s="37">
        <f>IF(C65&lt;$B$39,TREND(INDEX($E$34:$E$39,MATCH(C65,$B$34:$B$39,1)):INDEX($E$34:$E$39,MATCH(C65,$B$34:$B$39,1)+1),INDEX($B$34:$B$39,MATCH(C65,$B$34:$B$39,1)):INDEX($B$34:$B$39,MATCH(C65,$B$34:$B$39,1)+1),C65,TRUE),$E$39+(C65-$B$39)*($E$39-$G$63))</f>
        <v>14.628</v>
      </c>
      <c r="H65" s="49">
        <f t="shared" si="5"/>
        <v>1.32</v>
      </c>
      <c r="I65" s="3">
        <f t="shared" si="6"/>
        <v>0</v>
      </c>
      <c r="J65" s="3">
        <f t="shared" si="7"/>
        <v>0</v>
      </c>
      <c r="K65" s="37">
        <f>IF(C65&lt;$B$39,TREND(INDEX($I$34:$I$39,MATCH(C65,$B$34:$B$39,1)):INDEX($I$34:$I$39,MATCH(C65,$B$34:$B$39,1)+1),INDEX($B$34:$B$39,MATCH(C65,$B$34:$B$39,1)):INDEX($B$34:$B$39,MATCH(C65,$B$34:$B$39,1)+1),C65,TRUE),$I$39+(C65-$B$39)*($I$39-$K$63))</f>
        <v>3.0044733103308303</v>
      </c>
      <c r="L65" s="3">
        <f t="shared" si="3"/>
        <v>199</v>
      </c>
      <c r="M65" s="3">
        <f t="shared" si="8"/>
        <v>66</v>
      </c>
      <c r="N65" s="49">
        <f t="shared" si="9"/>
        <v>66</v>
      </c>
    </row>
    <row r="66" spans="1:14" x14ac:dyDescent="0.25">
      <c r="B66" s="3">
        <f>A28</f>
        <v>25</v>
      </c>
      <c r="C66" s="3">
        <f>B28</f>
        <v>14</v>
      </c>
      <c r="D66" s="55">
        <f>C28</f>
        <v>105</v>
      </c>
      <c r="E66" s="59"/>
      <c r="F66" s="57">
        <f>ROUND((C66-16)/(INPUT!$D$8-16)*INPUT!$D$9,2)</f>
        <v>0.88</v>
      </c>
      <c r="G66" s="37">
        <f>IF(C66&lt;$B$39,TREND(INDEX($E$34:$E$39,MATCH(C66,$B$34:$B$39,1)):INDEX($E$34:$E$39,MATCH(C66,$B$34:$B$39,1)+1),INDEX($B$34:$B$39,MATCH(C66,$B$34:$B$39,1)):INDEX($B$34:$B$39,MATCH(C66,$B$34:$B$39,1)+1),C66,TRUE),$E$39+(C66-$B$39)*($E$39-$G$63))</f>
        <v>14.956</v>
      </c>
      <c r="H66" s="49">
        <f t="shared" si="5"/>
        <v>0.88</v>
      </c>
      <c r="I66" s="3">
        <f t="shared" si="6"/>
        <v>0</v>
      </c>
      <c r="J66" s="3">
        <f t="shared" si="7"/>
        <v>0</v>
      </c>
      <c r="K66" s="37">
        <f>IF(C66&lt;$B$39,TREND(INDEX($I$34:$I$39,MATCH(C66,$B$34:$B$39,1)):INDEX($I$34:$I$39,MATCH(C66,$B$34:$B$39,1)+1),INDEX($B$34:$B$39,MATCH(C66,$B$34:$B$39,1)):INDEX($B$34:$B$39,MATCH(C66,$B$34:$B$39,1)+1),C66,TRUE),$I$39+(C66-$B$39)*($I$39-$K$63))</f>
        <v>2.8358696975847373</v>
      </c>
      <c r="L66" s="3">
        <f t="shared" si="3"/>
        <v>92</v>
      </c>
      <c r="M66" s="3">
        <f t="shared" si="8"/>
        <v>33</v>
      </c>
      <c r="N66" s="49">
        <f t="shared" si="9"/>
        <v>33</v>
      </c>
    </row>
    <row r="67" spans="1:14" x14ac:dyDescent="0.25">
      <c r="B67" s="3">
        <f t="shared" ref="B67:D67" si="33">A29</f>
        <v>26</v>
      </c>
      <c r="C67" s="3">
        <f t="shared" si="33"/>
        <v>15</v>
      </c>
      <c r="D67" s="55">
        <f t="shared" si="33"/>
        <v>74</v>
      </c>
      <c r="E67" s="60"/>
      <c r="F67" s="57">
        <f>ROUND((C67-16)/(INPUT!$D$8-16)*INPUT!$D$9,2)</f>
        <v>0.44</v>
      </c>
      <c r="G67" s="37">
        <f>IF(C67&lt;$B$39,TREND(INDEX($E$34:$E$39,MATCH(C67,$B$34:$B$39,1)):INDEX($E$34:$E$39,MATCH(C67,$B$34:$B$39,1)+1),INDEX($B$34:$B$39,MATCH(C67,$B$34:$B$39,1)):INDEX($B$34:$B$39,MATCH(C67,$B$34:$B$39,1)+1),C67,TRUE),$E$39+(C67-$B$39)*($E$39-$G$63))</f>
        <v>15.283999999999999</v>
      </c>
      <c r="H67" s="49">
        <f t="shared" si="5"/>
        <v>0.44</v>
      </c>
      <c r="I67" s="3">
        <f t="shared" si="6"/>
        <v>0</v>
      </c>
      <c r="J67" s="3">
        <f t="shared" si="7"/>
        <v>0</v>
      </c>
      <c r="K67" s="37">
        <f>IF(C67&lt;$B$39,TREND(INDEX($I$34:$I$39,MATCH(C67,$B$34:$B$39,1)):INDEX($I$34:$I$39,MATCH(C67,$B$34:$B$39,1)+1),INDEX($B$34:$B$39,MATCH(C67,$B$34:$B$39,1)):INDEX($B$34:$B$39,MATCH(C67,$B$34:$B$39,1)+1),C67,TRUE),$I$39+(C67-$B$39)*($I$39-$K$63))</f>
        <v>2.6672660848386442</v>
      </c>
      <c r="L67" s="3">
        <f t="shared" si="3"/>
        <v>33</v>
      </c>
      <c r="M67" s="3">
        <f t="shared" si="8"/>
        <v>12</v>
      </c>
      <c r="N67" s="49">
        <f t="shared" si="9"/>
        <v>12</v>
      </c>
    </row>
    <row r="69" spans="1:14" x14ac:dyDescent="0.25">
      <c r="K69" s="49" t="s">
        <v>39</v>
      </c>
      <c r="L69" s="49">
        <f>SUM(L42:L67)</f>
        <v>23671</v>
      </c>
      <c r="M69" s="49"/>
      <c r="N69" s="49">
        <f>SUM(N42:N67)</f>
        <v>6593</v>
      </c>
    </row>
    <row r="70" spans="1:14" ht="15" customHeight="1" x14ac:dyDescent="0.25">
      <c r="K70" s="65"/>
      <c r="L70" s="65"/>
      <c r="M70" s="65"/>
    </row>
    <row r="71" spans="1:14" s="7" customFormat="1" ht="20.25" x14ac:dyDescent="0.35">
      <c r="A71" s="15"/>
      <c r="B71" s="15"/>
      <c r="C71" s="15"/>
      <c r="D71" s="15"/>
      <c r="E71" s="15"/>
      <c r="F71" s="15"/>
      <c r="K71" s="66" t="s">
        <v>85</v>
      </c>
      <c r="L71" s="67">
        <f>ROUND(L69/N69,2)</f>
        <v>3.59</v>
      </c>
      <c r="M71" s="65"/>
    </row>
    <row r="72" spans="1:14" ht="15.75" thickBot="1" x14ac:dyDescent="0.3"/>
    <row r="73" spans="1:14" ht="18" x14ac:dyDescent="0.35">
      <c r="B73" s="113" t="s">
        <v>86</v>
      </c>
      <c r="C73" s="114"/>
      <c r="D73" s="115"/>
    </row>
    <row r="74" spans="1:14" x14ac:dyDescent="0.25">
      <c r="B74" s="68"/>
      <c r="C74" s="49"/>
      <c r="D74" s="69"/>
    </row>
    <row r="75" spans="1:14" ht="17.25" x14ac:dyDescent="0.25">
      <c r="B75" s="70" t="s">
        <v>60</v>
      </c>
      <c r="C75" s="49">
        <f>INPUT!D9</f>
        <v>11.46</v>
      </c>
      <c r="D75" s="5" t="s">
        <v>10</v>
      </c>
    </row>
    <row r="76" spans="1:14" ht="18" x14ac:dyDescent="0.25">
      <c r="B76" s="71" t="s">
        <v>59</v>
      </c>
      <c r="C76" s="49">
        <f>INPUT!D28</f>
        <v>1400</v>
      </c>
      <c r="D76" s="5" t="s">
        <v>30</v>
      </c>
    </row>
    <row r="77" spans="1:14" x14ac:dyDescent="0.25">
      <c r="B77" s="68"/>
      <c r="C77" s="49"/>
      <c r="D77" s="5"/>
    </row>
    <row r="78" spans="1:14" ht="18.75" thickBot="1" x14ac:dyDescent="0.4">
      <c r="B78" s="72" t="s">
        <v>62</v>
      </c>
      <c r="C78" s="73">
        <f>C75*C76</f>
        <v>16044.000000000002</v>
      </c>
      <c r="D78" s="6" t="s">
        <v>40</v>
      </c>
    </row>
    <row r="79" spans="1:14" ht="15.75" thickBot="1" x14ac:dyDescent="0.3"/>
    <row r="80" spans="1:14" ht="19.5" thickBot="1" x14ac:dyDescent="0.35">
      <c r="B80" s="98" t="s">
        <v>58</v>
      </c>
      <c r="C80" s="99"/>
      <c r="D80" s="100"/>
    </row>
    <row r="81" spans="2:4" ht="18" x14ac:dyDescent="0.35">
      <c r="B81" s="74" t="s">
        <v>62</v>
      </c>
      <c r="C81" s="75">
        <f>C78</f>
        <v>16044.000000000002</v>
      </c>
      <c r="D81" s="76" t="s">
        <v>40</v>
      </c>
    </row>
    <row r="82" spans="2:4" ht="18" x14ac:dyDescent="0.35">
      <c r="B82" s="77" t="s">
        <v>63</v>
      </c>
      <c r="C82" s="78">
        <f>(C81/L71)+(INPUT!D22*INPUT!D29)+(INPUT!D23*INPUT!D30)+(INPUT!D24*INPUT!D31)+(INPUT!D25*INPUT!D32)</f>
        <v>4477.8517799442898</v>
      </c>
      <c r="D82" s="79" t="s">
        <v>40</v>
      </c>
    </row>
    <row r="83" spans="2:4" x14ac:dyDescent="0.25">
      <c r="B83" s="77"/>
      <c r="C83" s="78"/>
      <c r="D83" s="80"/>
    </row>
    <row r="84" spans="2:4" ht="19.5" thickBot="1" x14ac:dyDescent="0.35">
      <c r="B84" s="81" t="s">
        <v>84</v>
      </c>
      <c r="C84" s="101">
        <f>ROUND(C81/C82,2)</f>
        <v>3.58</v>
      </c>
      <c r="D84" s="102"/>
    </row>
  </sheetData>
  <sortState xmlns:xlrd2="http://schemas.microsoft.com/office/spreadsheetml/2017/richdata2" ref="A34:I39">
    <sortCondition ref="B34:B39"/>
  </sortState>
  <mergeCells count="9">
    <mergeCell ref="B80:D80"/>
    <mergeCell ref="C84:D84"/>
    <mergeCell ref="A2:C2"/>
    <mergeCell ref="A1:H1"/>
    <mergeCell ref="A31:I31"/>
    <mergeCell ref="E8:G8"/>
    <mergeCell ref="E9:G9"/>
    <mergeCell ref="E7:G7"/>
    <mergeCell ref="B73:D73"/>
  </mergeCells>
  <pageMargins left="0.7" right="0.7" top="0.75" bottom="0.75" header="0.3" footer="0.3"/>
  <pageSetup paperSize="9" scale="7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Φύλλο3"/>
  <dimension ref="A1:D10"/>
  <sheetViews>
    <sheetView workbookViewId="0">
      <selection sqref="A1:F11"/>
    </sheetView>
  </sheetViews>
  <sheetFormatPr defaultRowHeight="15" x14ac:dyDescent="0.25"/>
  <cols>
    <col min="1" max="1" width="17.28515625" customWidth="1"/>
    <col min="2" max="3" width="20" customWidth="1"/>
    <col min="4" max="4" width="20.28515625" customWidth="1"/>
  </cols>
  <sheetData>
    <row r="1" spans="1:4" x14ac:dyDescent="0.25">
      <c r="A1" s="122" t="s">
        <v>41</v>
      </c>
      <c r="B1" s="123"/>
      <c r="C1" s="123"/>
      <c r="D1" s="124"/>
    </row>
    <row r="2" spans="1:4" ht="15.75" thickBot="1" x14ac:dyDescent="0.3">
      <c r="A2" s="125"/>
      <c r="B2" s="126"/>
      <c r="C2" s="126"/>
      <c r="D2" s="127"/>
    </row>
    <row r="3" spans="1:4" ht="30" x14ac:dyDescent="0.25">
      <c r="A3" s="8" t="s">
        <v>53</v>
      </c>
      <c r="B3" s="9"/>
      <c r="C3" s="9" t="s">
        <v>42</v>
      </c>
      <c r="D3" s="10"/>
    </row>
    <row r="4" spans="1:4" ht="30" x14ac:dyDescent="0.25">
      <c r="A4" s="11" t="s">
        <v>43</v>
      </c>
      <c r="B4" s="12"/>
      <c r="C4" s="12" t="s">
        <v>44</v>
      </c>
      <c r="D4" s="13"/>
    </row>
    <row r="5" spans="1:4" ht="30" x14ac:dyDescent="0.25">
      <c r="A5" s="11" t="s">
        <v>50</v>
      </c>
      <c r="B5" s="12"/>
      <c r="C5" s="12" t="s">
        <v>54</v>
      </c>
      <c r="D5" s="13"/>
    </row>
    <row r="6" spans="1:4" x14ac:dyDescent="0.25">
      <c r="A6" s="11" t="s">
        <v>45</v>
      </c>
      <c r="B6" s="12"/>
      <c r="C6" s="12" t="s">
        <v>46</v>
      </c>
      <c r="D6" s="13"/>
    </row>
    <row r="7" spans="1:4" x14ac:dyDescent="0.25">
      <c r="A7" s="11" t="s">
        <v>47</v>
      </c>
      <c r="B7" s="12"/>
      <c r="C7" s="12" t="s">
        <v>48</v>
      </c>
      <c r="D7" s="13"/>
    </row>
    <row r="8" spans="1:4" ht="30" x14ac:dyDescent="0.25">
      <c r="A8" s="11" t="s">
        <v>55</v>
      </c>
      <c r="B8" s="12"/>
      <c r="C8" s="12" t="s">
        <v>49</v>
      </c>
      <c r="D8" s="13"/>
    </row>
    <row r="9" spans="1:4" ht="18" x14ac:dyDescent="0.25">
      <c r="A9" s="82" t="s">
        <v>87</v>
      </c>
      <c r="B9" s="116">
        <f>CALCULATIONS!L71</f>
        <v>3.59</v>
      </c>
      <c r="C9" s="117"/>
      <c r="D9" s="118"/>
    </row>
    <row r="10" spans="1:4" ht="15.75" thickBot="1" x14ac:dyDescent="0.3">
      <c r="A10" s="83" t="s">
        <v>84</v>
      </c>
      <c r="B10" s="119">
        <f>CALCULATIONS!C84</f>
        <v>3.58</v>
      </c>
      <c r="C10" s="120"/>
      <c r="D10" s="121"/>
    </row>
  </sheetData>
  <mergeCells count="3">
    <mergeCell ref="B9:D9"/>
    <mergeCell ref="B10:D10"/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CALCULATIONS</vt:lpstr>
      <vt:lpstr>OUTPUT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Chantzis Georgios</dc:creator>
  <cp:lastModifiedBy>Petros Charalambides</cp:lastModifiedBy>
  <cp:lastPrinted>2020-05-22T10:49:53Z</cp:lastPrinted>
  <dcterms:created xsi:type="dcterms:W3CDTF">2020-04-29T07:46:41Z</dcterms:created>
  <dcterms:modified xsi:type="dcterms:W3CDTF">2023-04-10T09:44:53Z</dcterms:modified>
</cp:coreProperties>
</file>