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pcharalambides12\Documents\Petros\Website\"/>
    </mc:Choice>
  </mc:AlternateContent>
  <xr:revisionPtr revIDLastSave="0" documentId="8_{D495D86D-2994-4AB5-9E88-E8AB63A770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put" sheetId="1" r:id="rId1"/>
    <sheet name="Calculations" sheetId="2" r:id="rId2"/>
    <sheet name="Output" sheetId="3" r:id="rId3"/>
  </sheets>
  <calcPr calcId="191029"/>
</workbook>
</file>

<file path=xl/calcChain.xml><?xml version="1.0" encoding="utf-8"?>
<calcChain xmlns="http://schemas.openxmlformats.org/spreadsheetml/2006/main">
  <c r="B11" i="3" l="1"/>
  <c r="B9" i="3"/>
  <c r="B165" i="2"/>
  <c r="B164" i="2"/>
  <c r="B163" i="2"/>
  <c r="B162" i="2"/>
  <c r="B157" i="2"/>
  <c r="B154" i="2"/>
  <c r="B153" i="2"/>
  <c r="B152" i="2"/>
  <c r="B146" i="2"/>
  <c r="B147" i="2" s="1"/>
  <c r="B128" i="2"/>
  <c r="B127" i="2"/>
  <c r="B112" i="2"/>
  <c r="B111" i="2"/>
  <c r="C104" i="2"/>
  <c r="B104" i="2"/>
  <c r="C103" i="2"/>
  <c r="B103" i="2"/>
  <c r="C102" i="2"/>
  <c r="B102" i="2"/>
  <c r="C101" i="2"/>
  <c r="I101" i="2" s="1"/>
  <c r="B101" i="2"/>
  <c r="E100" i="2"/>
  <c r="C100" i="2"/>
  <c r="I100" i="2" s="1"/>
  <c r="B100" i="2"/>
  <c r="C99" i="2"/>
  <c r="B99" i="2"/>
  <c r="C98" i="2"/>
  <c r="B98" i="2"/>
  <c r="C97" i="2"/>
  <c r="I97" i="2" s="1"/>
  <c r="B97" i="2"/>
  <c r="E96" i="2"/>
  <c r="C96" i="2"/>
  <c r="I96" i="2" s="1"/>
  <c r="B96" i="2"/>
  <c r="C95" i="2"/>
  <c r="B95" i="2"/>
  <c r="D66" i="2"/>
  <c r="D101" i="2" s="1"/>
  <c r="D65" i="2"/>
  <c r="C65" i="2"/>
  <c r="D64" i="2"/>
  <c r="C64" i="2"/>
  <c r="B79" i="2" s="1"/>
  <c r="D63" i="2"/>
  <c r="D62" i="2"/>
  <c r="D61" i="2"/>
  <c r="C61" i="2"/>
  <c r="D30" i="2"/>
  <c r="B33" i="2" s="1"/>
  <c r="D29" i="2"/>
  <c r="D28" i="2"/>
  <c r="D27" i="2"/>
  <c r="D26" i="2"/>
  <c r="B10" i="3" s="1"/>
  <c r="D25" i="2"/>
  <c r="B37" i="2" s="1"/>
  <c r="D24" i="2"/>
  <c r="B44" i="2" s="1"/>
  <c r="H20" i="2"/>
  <c r="H19" i="2"/>
  <c r="H18" i="2"/>
  <c r="I17" i="2"/>
  <c r="G17" i="2"/>
  <c r="F17" i="2"/>
  <c r="H17" i="2" s="1"/>
  <c r="E17" i="2"/>
  <c r="D17" i="2"/>
  <c r="I16" i="2"/>
  <c r="G16" i="2"/>
  <c r="F16" i="2"/>
  <c r="H16" i="2" s="1"/>
  <c r="E16" i="2"/>
  <c r="D16" i="2"/>
  <c r="B80" i="2" l="1"/>
  <c r="B81" i="2" s="1"/>
  <c r="B83" i="2" s="1"/>
  <c r="B15" i="3" s="1"/>
  <c r="B129" i="2"/>
  <c r="B131" i="2" s="1"/>
  <c r="B14" i="3" s="1"/>
  <c r="B73" i="2"/>
  <c r="E97" i="2"/>
  <c r="E99" i="2"/>
  <c r="I99" i="2"/>
  <c r="E102" i="2"/>
  <c r="I102" i="2"/>
  <c r="E104" i="2"/>
  <c r="I104" i="2"/>
  <c r="E95" i="2"/>
  <c r="I95" i="2"/>
  <c r="E98" i="2"/>
  <c r="I98" i="2"/>
  <c r="E101" i="2"/>
  <c r="F101" i="2" s="1"/>
  <c r="E103" i="2"/>
  <c r="I103" i="2"/>
  <c r="B167" i="2"/>
  <c r="B168" i="2" s="1"/>
  <c r="B170" i="2" s="1"/>
  <c r="B34" i="2"/>
  <c r="B38" i="2"/>
  <c r="B70" i="2"/>
  <c r="B74" i="2"/>
  <c r="B75" i="2" s="1"/>
  <c r="D98" i="2"/>
  <c r="F98" i="2" s="1"/>
  <c r="D102" i="2"/>
  <c r="B35" i="2"/>
  <c r="B36" i="2" s="1"/>
  <c r="B39" i="2" s="1"/>
  <c r="B43" i="2"/>
  <c r="B71" i="2"/>
  <c r="D95" i="2"/>
  <c r="F95" i="2" s="1"/>
  <c r="D99" i="2"/>
  <c r="F99" i="2" s="1"/>
  <c r="D103" i="2"/>
  <c r="F103" i="2" s="1"/>
  <c r="B72" i="2"/>
  <c r="D96" i="2"/>
  <c r="F96" i="2" s="1"/>
  <c r="D100" i="2"/>
  <c r="F100" i="2" s="1"/>
  <c r="D104" i="2"/>
  <c r="F104" i="2" s="1"/>
  <c r="D97" i="2"/>
  <c r="F97" i="2" s="1"/>
  <c r="F102" i="2" l="1"/>
  <c r="B77" i="2"/>
  <c r="F106" i="2"/>
  <c r="B108" i="2" s="1"/>
  <c r="B114" i="2" s="1"/>
  <c r="B40" i="2"/>
  <c r="B41" i="2" s="1"/>
  <c r="B42" i="2" s="1"/>
  <c r="B46" i="2" l="1"/>
  <c r="B45" i="2"/>
  <c r="B48" i="2" l="1"/>
  <c r="B52" i="2" s="1"/>
  <c r="B47" i="2"/>
  <c r="B49" i="2" l="1"/>
  <c r="B13" i="3" s="1"/>
  <c r="B51" i="2"/>
  <c r="B158" i="2" s="1"/>
  <c r="B155" i="2" l="1"/>
  <c r="B53" i="2"/>
  <c r="B12" i="3" l="1"/>
  <c r="B177" i="2"/>
  <c r="B17" i="3" s="1"/>
  <c r="B174" i="2"/>
  <c r="B16" i="3" s="1"/>
</calcChain>
</file>

<file path=xl/sharedStrings.xml><?xml version="1.0" encoding="utf-8"?>
<sst xmlns="http://schemas.openxmlformats.org/spreadsheetml/2006/main" count="353" uniqueCount="274">
  <si>
    <t xml:space="preserve">Βαθμός απόδοσης καύσης </t>
  </si>
  <si>
    <t>Μετρητικά δεδομένα</t>
  </si>
  <si>
    <t>Αποτελέσματα</t>
  </si>
  <si>
    <t>Σύμβολο</t>
  </si>
  <si>
    <t>Μονάδα</t>
  </si>
  <si>
    <t>Τιμή</t>
  </si>
  <si>
    <t>Θερμοκρασία καυσαερίων</t>
  </si>
  <si>
    <t>Ονοματεπώνυμον Ιδιοκτήτη</t>
  </si>
  <si>
    <t>Αρ. Ταυτότητας</t>
  </si>
  <si>
    <t>Ημερομηνία επιθεώρησης</t>
  </si>
  <si>
    <t>Όνομα επιθεωρητή</t>
  </si>
  <si>
    <t>Θερμαινόμενη επιφάνεια</t>
  </si>
  <si>
    <t>Κατηγορία κτηρίου</t>
  </si>
  <si>
    <t>Διεύθυνση</t>
  </si>
  <si>
    <t>Ταχ. κώδικας</t>
  </si>
  <si>
    <t>Τηλέφωνο</t>
  </si>
  <si>
    <t>Ε-mail</t>
  </si>
  <si>
    <t>Χαρακτηριστικά κτηρίου</t>
  </si>
  <si>
    <t xml:space="preserve">Ταυτότητα συστήματος </t>
  </si>
  <si>
    <r>
      <t>Σταθερές C</t>
    </r>
    <r>
      <rPr>
        <vertAlign val="subscript"/>
        <sz val="11"/>
        <color theme="1"/>
        <rFont val="Calibri"/>
      </rPr>
      <t>1</t>
    </r>
    <r>
      <rPr>
        <sz val="11"/>
        <color theme="1"/>
        <rFont val="Calibri"/>
      </rPr>
      <t xml:space="preserve"> καικαι C</t>
    </r>
    <r>
      <rPr>
        <vertAlign val="subscript"/>
        <sz val="11"/>
        <color theme="1"/>
        <rFont val="Calibri"/>
      </rPr>
      <t>2</t>
    </r>
    <r>
      <rPr>
        <sz val="11"/>
        <color theme="1"/>
        <rFont val="Calibri"/>
      </rPr>
      <t xml:space="preserve"> για υπολογισμό απωλειών καπνοδόχου, αναλόγως αυσίμου</t>
    </r>
  </si>
  <si>
    <t>Density (kg/l)</t>
  </si>
  <si>
    <t>Density (kg/m3)</t>
  </si>
  <si>
    <t>Καύσιμο</t>
  </si>
  <si>
    <r>
      <t>Θερμοκρασία καυσαερίων  (</t>
    </r>
    <r>
      <rPr>
        <vertAlign val="superscript"/>
        <sz val="11"/>
        <color theme="1"/>
        <rFont val="Calibri"/>
      </rPr>
      <t>o</t>
    </r>
    <r>
      <rPr>
        <sz val="11"/>
        <color theme="1"/>
        <rFont val="Calibri"/>
      </rPr>
      <t>C)</t>
    </r>
  </si>
  <si>
    <r>
      <t>θ</t>
    </r>
    <r>
      <rPr>
        <vertAlign val="subscript"/>
        <sz val="11"/>
        <color theme="1"/>
        <rFont val="Calibri"/>
      </rPr>
      <t>fg</t>
    </r>
  </si>
  <si>
    <r>
      <t>C</t>
    </r>
    <r>
      <rPr>
        <vertAlign val="subscript"/>
        <sz val="11"/>
        <color theme="1"/>
        <rFont val="Calibri"/>
      </rPr>
      <t>1</t>
    </r>
  </si>
  <si>
    <r>
      <rPr>
        <vertAlign val="superscript"/>
        <sz val="11"/>
        <color theme="1"/>
        <rFont val="Calibri"/>
      </rPr>
      <t>o</t>
    </r>
    <r>
      <rPr>
        <sz val="11"/>
        <color theme="1"/>
        <rFont val="Calibri"/>
      </rPr>
      <t>C</t>
    </r>
  </si>
  <si>
    <r>
      <t>C</t>
    </r>
    <r>
      <rPr>
        <vertAlign val="subscript"/>
        <sz val="11"/>
        <color theme="1"/>
        <rFont val="Calibri"/>
      </rPr>
      <t>2</t>
    </r>
  </si>
  <si>
    <t>XCO2;fg;dry</t>
  </si>
  <si>
    <t>Φυσικό Αέριο</t>
  </si>
  <si>
    <t>Υγραέριο</t>
  </si>
  <si>
    <t>Πετρέλαιο θέρμανσης (ελαφρύ)</t>
  </si>
  <si>
    <t>Θερμοκρασία αέρα καύσης</t>
  </si>
  <si>
    <t>Πετρέλαιο θέρμανσης (βαρύ)</t>
  </si>
  <si>
    <r>
      <t>θ</t>
    </r>
    <r>
      <rPr>
        <vertAlign val="subscript"/>
        <sz val="11"/>
        <color theme="1"/>
        <rFont val="Calibri"/>
      </rPr>
      <t>air</t>
    </r>
  </si>
  <si>
    <r>
      <rPr>
        <vertAlign val="superscript"/>
        <sz val="11"/>
        <color theme="1"/>
        <rFont val="Calibri"/>
      </rPr>
      <t>o</t>
    </r>
    <r>
      <rPr>
        <sz val="11"/>
        <color theme="1"/>
        <rFont val="Calibri"/>
      </rPr>
      <t>C</t>
    </r>
  </si>
  <si>
    <r>
      <t>Συγκέντρωση O</t>
    </r>
    <r>
      <rPr>
        <vertAlign val="subscript"/>
        <sz val="11"/>
        <color theme="1"/>
        <rFont val="Calibri"/>
      </rPr>
      <t>2</t>
    </r>
    <r>
      <rPr>
        <sz val="11"/>
        <color theme="1"/>
        <rFont val="Calibri"/>
      </rPr>
      <t xml:space="preserve"> στα καυσαέρια *</t>
    </r>
  </si>
  <si>
    <r>
      <t>X</t>
    </r>
    <r>
      <rPr>
        <vertAlign val="subscript"/>
        <sz val="11"/>
        <color theme="1"/>
        <rFont val="Calibri"/>
      </rPr>
      <t>O2;fg;dry</t>
    </r>
  </si>
  <si>
    <t>%</t>
  </si>
  <si>
    <r>
      <t>Συγκέντρωση CO</t>
    </r>
    <r>
      <rPr>
        <vertAlign val="subscript"/>
        <sz val="11"/>
        <color theme="1"/>
        <rFont val="Calibri"/>
      </rPr>
      <t>2</t>
    </r>
    <r>
      <rPr>
        <sz val="11"/>
        <color theme="1"/>
        <rFont val="Calibri"/>
      </rPr>
      <t xml:space="preserve"> στα καυσαέρια </t>
    </r>
  </si>
  <si>
    <r>
      <t>X</t>
    </r>
    <r>
      <rPr>
        <vertAlign val="subscript"/>
        <sz val="11"/>
        <color theme="1"/>
        <rFont val="Calibri"/>
      </rPr>
      <t>CO2;fg;dry</t>
    </r>
  </si>
  <si>
    <t xml:space="preserve">Σχετική υγρασία αέρα καύσης </t>
  </si>
  <si>
    <r>
      <t>φ</t>
    </r>
    <r>
      <rPr>
        <vertAlign val="subscript"/>
        <sz val="11"/>
        <color theme="1"/>
        <rFont val="Calibri"/>
      </rPr>
      <t>air</t>
    </r>
  </si>
  <si>
    <t>Σχετική υγρασία καυσαερίων</t>
  </si>
  <si>
    <r>
      <t>φ</t>
    </r>
    <r>
      <rPr>
        <vertAlign val="subscript"/>
        <sz val="11"/>
        <color theme="1"/>
        <rFont val="Calibri"/>
      </rPr>
      <t>fg</t>
    </r>
  </si>
  <si>
    <r>
      <t>Συγκέντρωση O</t>
    </r>
    <r>
      <rPr>
        <vertAlign val="subscript"/>
        <sz val="11"/>
        <color theme="1"/>
        <rFont val="Calibri"/>
      </rPr>
      <t>2</t>
    </r>
    <r>
      <rPr>
        <sz val="11"/>
        <color theme="1"/>
        <rFont val="Calibri"/>
      </rPr>
      <t xml:space="preserve"> στα καυσαέρια (%) </t>
    </r>
  </si>
  <si>
    <t>Τύπος καυσίμου</t>
  </si>
  <si>
    <t xml:space="preserve">Δ/Ε </t>
  </si>
  <si>
    <t>Κατάλογος</t>
  </si>
  <si>
    <t>Δεδομένα υπολογισμού για συντελεστή ανάκτησης θερμότητας με συμπύκνωση</t>
  </si>
  <si>
    <t>Property</t>
  </si>
  <si>
    <r>
      <t>Θερμοκρασία αέρα καύσης  (</t>
    </r>
    <r>
      <rPr>
        <vertAlign val="superscript"/>
        <sz val="11"/>
        <color theme="1"/>
        <rFont val="Calibri"/>
      </rPr>
      <t>o</t>
    </r>
    <r>
      <rPr>
        <sz val="11"/>
        <color theme="1"/>
        <rFont val="Calibri"/>
      </rPr>
      <t>C)</t>
    </r>
  </si>
  <si>
    <t>Symbol</t>
  </si>
  <si>
    <t>Unit</t>
  </si>
  <si>
    <t>Fuel</t>
  </si>
  <si>
    <r>
      <t>η</t>
    </r>
    <r>
      <rPr>
        <vertAlign val="subscript"/>
        <sz val="11"/>
        <color theme="1"/>
        <rFont val="Calibri"/>
      </rPr>
      <t xml:space="preserve">comb </t>
    </r>
    <r>
      <rPr>
        <sz val="11"/>
        <color theme="1"/>
        <rFont val="Calibri"/>
      </rPr>
      <t xml:space="preserve"> ή η</t>
    </r>
    <r>
      <rPr>
        <vertAlign val="subscript"/>
        <sz val="11"/>
        <color theme="1"/>
        <rFont val="Calibri"/>
      </rPr>
      <t>comb,Hs</t>
    </r>
  </si>
  <si>
    <t>* Οταν δεν είναι εφικτή η μέτρηση συγκέντρωσης O2 το κελί τιμής να αφήνεται κενό</t>
  </si>
  <si>
    <r>
      <t>a</t>
    </r>
    <r>
      <rPr>
        <vertAlign val="subscript"/>
        <sz val="11"/>
        <color theme="1"/>
        <rFont val="Calibri"/>
      </rPr>
      <t xml:space="preserve">cond </t>
    </r>
    <r>
      <rPr>
        <sz val="11"/>
        <color theme="1"/>
        <rFont val="Calibri"/>
      </rPr>
      <t>ή a</t>
    </r>
    <r>
      <rPr>
        <vertAlign val="subscript"/>
        <sz val="11"/>
        <color theme="1"/>
        <rFont val="Calibri"/>
      </rPr>
      <t>cond;Hs</t>
    </r>
  </si>
  <si>
    <r>
      <t>Συντελεστή απωλειών,  α</t>
    </r>
    <r>
      <rPr>
        <vertAlign val="subscript"/>
        <sz val="11"/>
        <color theme="1"/>
        <rFont val="Calibri"/>
      </rPr>
      <t>ge</t>
    </r>
  </si>
  <si>
    <r>
      <t>Συντελεστή φορτίου,  β</t>
    </r>
    <r>
      <rPr>
        <vertAlign val="subscript"/>
        <sz val="11"/>
        <color theme="1"/>
        <rFont val="Calibri"/>
      </rPr>
      <t>comb,seas</t>
    </r>
  </si>
  <si>
    <r>
      <t>Εποχιακός βαθμός απόδοσης,  η</t>
    </r>
    <r>
      <rPr>
        <vertAlign val="subscript"/>
        <sz val="11"/>
        <color theme="1"/>
        <rFont val="Calibri"/>
      </rPr>
      <t>b,seas</t>
    </r>
    <r>
      <rPr>
        <sz val="11"/>
        <color theme="1"/>
        <rFont val="Calibri"/>
      </rPr>
      <t xml:space="preserve"> (Κυκλική μεθοδολογία) </t>
    </r>
  </si>
  <si>
    <t>Υπολογισμός βαθμού απόδοσης καύσης</t>
  </si>
  <si>
    <r>
      <t>Εποχιακός βαθμός απόδοσης,  η</t>
    </r>
    <r>
      <rPr>
        <vertAlign val="subscript"/>
        <sz val="11"/>
        <color theme="1"/>
        <rFont val="Calibri"/>
      </rPr>
      <t>b,seas</t>
    </r>
    <r>
      <rPr>
        <sz val="11"/>
        <color theme="1"/>
        <rFont val="Calibri"/>
      </rPr>
      <t xml:space="preserve"> (Μέθοδος συνολικών απωλειών αναμονής ) </t>
    </r>
  </si>
  <si>
    <t>Methane</t>
  </si>
  <si>
    <t>Natural Gas</t>
  </si>
  <si>
    <t>Propane</t>
  </si>
  <si>
    <t>Butane</t>
  </si>
  <si>
    <t>LPG (40% propane &amp; 60% butane)</t>
  </si>
  <si>
    <t>Βάσει καθαρής θερμογόνου δύναμης</t>
  </si>
  <si>
    <t>Fuel oil EL</t>
  </si>
  <si>
    <t>Εποχιακός βαθμός απόδοσης καύσης</t>
  </si>
  <si>
    <t xml:space="preserve">Για αέρια καύσιμα </t>
  </si>
  <si>
    <t>Unit mass of fuel</t>
  </si>
  <si>
    <t>Θερμοκρασία λειτουργίας (oC)</t>
  </si>
  <si>
    <t>Πίεση λειτουργίας (Pa)</t>
  </si>
  <si>
    <t>Μετρητικά Δεδομένα</t>
  </si>
  <si>
    <t>Gross calorific value</t>
  </si>
  <si>
    <r>
      <t>H</t>
    </r>
    <r>
      <rPr>
        <vertAlign val="subscript"/>
        <sz val="11"/>
        <color theme="1"/>
        <rFont val="Calibri"/>
      </rPr>
      <t>s</t>
    </r>
  </si>
  <si>
    <r>
      <t>J/kg or J/Nm</t>
    </r>
    <r>
      <rPr>
        <vertAlign val="superscript"/>
        <sz val="11"/>
        <color theme="1"/>
        <rFont val="Calibri"/>
      </rPr>
      <t>3</t>
    </r>
  </si>
  <si>
    <t>Net calirific value</t>
  </si>
  <si>
    <r>
      <t>H</t>
    </r>
    <r>
      <rPr>
        <vertAlign val="subscript"/>
        <sz val="11"/>
        <color theme="1"/>
        <rFont val="Calibri"/>
      </rPr>
      <t>i</t>
    </r>
  </si>
  <si>
    <r>
      <t>J/kg or J/Nm</t>
    </r>
    <r>
      <rPr>
        <vertAlign val="superscript"/>
        <sz val="11"/>
        <color theme="1"/>
        <rFont val="Calibri"/>
      </rPr>
      <t>3</t>
    </r>
  </si>
  <si>
    <t>Stoichiometric dry air</t>
  </si>
  <si>
    <r>
      <t>V</t>
    </r>
    <r>
      <rPr>
        <vertAlign val="subscript"/>
        <sz val="11"/>
        <color theme="1"/>
        <rFont val="Calibri"/>
      </rPr>
      <t>air,st</t>
    </r>
  </si>
  <si>
    <r>
      <t>Nm</t>
    </r>
    <r>
      <rPr>
        <vertAlign val="superscript"/>
        <sz val="11"/>
        <color theme="1"/>
        <rFont val="Calibri"/>
      </rPr>
      <t>3</t>
    </r>
    <r>
      <rPr>
        <sz val="11"/>
        <color theme="1"/>
        <rFont val="Calibri"/>
      </rPr>
      <t>/kg or Nm</t>
    </r>
    <r>
      <rPr>
        <vertAlign val="superscript"/>
        <sz val="11"/>
        <color theme="1"/>
        <rFont val="Calibri"/>
      </rPr>
      <t>3</t>
    </r>
    <r>
      <rPr>
        <sz val="11"/>
        <color theme="1"/>
        <rFont val="Calibri"/>
      </rPr>
      <t>/Nm</t>
    </r>
  </si>
  <si>
    <t>Stoichiometric dry flue gas</t>
  </si>
  <si>
    <r>
      <t>V</t>
    </r>
    <r>
      <rPr>
        <vertAlign val="subscript"/>
        <sz val="11"/>
        <color theme="1"/>
        <rFont val="Calibri"/>
      </rPr>
      <t>fg,st,dry</t>
    </r>
  </si>
  <si>
    <r>
      <t>Nm</t>
    </r>
    <r>
      <rPr>
        <vertAlign val="superscript"/>
        <sz val="11"/>
        <color theme="1"/>
        <rFont val="Calibri"/>
      </rPr>
      <t>3</t>
    </r>
    <r>
      <rPr>
        <sz val="11"/>
        <color theme="1"/>
        <rFont val="Calibri"/>
      </rPr>
      <t>/kg or Nm</t>
    </r>
    <r>
      <rPr>
        <vertAlign val="superscript"/>
        <sz val="11"/>
        <color theme="1"/>
        <rFont val="Calibri"/>
      </rPr>
      <t>3</t>
    </r>
    <r>
      <rPr>
        <sz val="11"/>
        <color theme="1"/>
        <rFont val="Calibri"/>
      </rPr>
      <t>/Nm</t>
    </r>
  </si>
  <si>
    <t>Stoichiometric water production</t>
  </si>
  <si>
    <r>
      <t>m</t>
    </r>
    <r>
      <rPr>
        <vertAlign val="subscript"/>
        <sz val="11"/>
        <color theme="1"/>
        <rFont val="Calibri"/>
      </rPr>
      <t>H2O,st</t>
    </r>
  </si>
  <si>
    <r>
      <t>kg/kg or kg/Nm</t>
    </r>
    <r>
      <rPr>
        <vertAlign val="superscript"/>
        <sz val="11"/>
        <color theme="1"/>
        <rFont val="Calibri"/>
      </rPr>
      <t>3</t>
    </r>
  </si>
  <si>
    <t>Μετρήσεις από επιθεωρητή</t>
  </si>
  <si>
    <t>Εύρος Τιμών</t>
  </si>
  <si>
    <r>
      <t>θ</t>
    </r>
    <r>
      <rPr>
        <vertAlign val="subscript"/>
        <sz val="11"/>
        <color theme="1"/>
        <rFont val="Calibri"/>
      </rPr>
      <t>fg</t>
    </r>
  </si>
  <si>
    <r>
      <rPr>
        <vertAlign val="superscript"/>
        <sz val="11"/>
        <color theme="1"/>
        <rFont val="Calibri"/>
      </rPr>
      <t>o</t>
    </r>
    <r>
      <rPr>
        <sz val="11"/>
        <color theme="1"/>
        <rFont val="Calibri"/>
      </rPr>
      <t>C</t>
    </r>
  </si>
  <si>
    <t>0 έως 400</t>
  </si>
  <si>
    <r>
      <t>θ</t>
    </r>
    <r>
      <rPr>
        <vertAlign val="subscript"/>
        <sz val="11"/>
        <color theme="1"/>
        <rFont val="Calibri"/>
      </rPr>
      <t>air</t>
    </r>
  </si>
  <si>
    <t>Περιγραφή</t>
  </si>
  <si>
    <r>
      <rPr>
        <vertAlign val="superscript"/>
        <sz val="11"/>
        <color theme="1"/>
        <rFont val="Calibri"/>
      </rPr>
      <t>o</t>
    </r>
    <r>
      <rPr>
        <sz val="11"/>
        <color theme="1"/>
        <rFont val="Calibri"/>
      </rPr>
      <t>C</t>
    </r>
  </si>
  <si>
    <t>-50 έως 50</t>
  </si>
  <si>
    <r>
      <t>Συγκέντρωση O</t>
    </r>
    <r>
      <rPr>
        <vertAlign val="subscript"/>
        <sz val="11"/>
        <color theme="1"/>
        <rFont val="Calibri"/>
      </rPr>
      <t>2</t>
    </r>
    <r>
      <rPr>
        <sz val="11"/>
        <color theme="1"/>
        <rFont val="Calibri"/>
      </rPr>
      <t xml:space="preserve"> στα καυσαέρια </t>
    </r>
  </si>
  <si>
    <r>
      <t>X</t>
    </r>
    <r>
      <rPr>
        <vertAlign val="subscript"/>
        <sz val="11"/>
        <color theme="1"/>
        <rFont val="Calibri"/>
      </rPr>
      <t>O2;fg;dry</t>
    </r>
  </si>
  <si>
    <t>Ποσότητα καυσίμου στον λέβητα για μια συγκεκριμένη χρονική περίοδο (π.χ. ένας χρόνος)</t>
  </si>
  <si>
    <r>
      <t>V</t>
    </r>
    <r>
      <rPr>
        <vertAlign val="subscript"/>
        <sz val="11"/>
        <color theme="1"/>
        <rFont val="Calibri"/>
      </rPr>
      <t>del</t>
    </r>
  </si>
  <si>
    <t>0 έως 20</t>
  </si>
  <si>
    <t>kg</t>
  </si>
  <si>
    <r>
      <t>X</t>
    </r>
    <r>
      <rPr>
        <vertAlign val="subscript"/>
        <sz val="11"/>
        <color theme="1"/>
        <rFont val="Calibri"/>
      </rPr>
      <t>CO2;st</t>
    </r>
  </si>
  <si>
    <t>Μέγιστη ισχύς</t>
  </si>
  <si>
    <r>
      <t>Φ</t>
    </r>
    <r>
      <rPr>
        <vertAlign val="subscript"/>
        <sz val="11"/>
        <color theme="1"/>
        <rFont val="Calibri"/>
      </rPr>
      <t>comb</t>
    </r>
  </si>
  <si>
    <t>W</t>
  </si>
  <si>
    <r>
      <t>Θερμογόνος δύναμη για υπολογισμό Φ</t>
    </r>
    <r>
      <rPr>
        <vertAlign val="subscript"/>
        <sz val="11"/>
        <color theme="1"/>
        <rFont val="Calibri"/>
      </rPr>
      <t>comb</t>
    </r>
  </si>
  <si>
    <r>
      <t>H</t>
    </r>
    <r>
      <rPr>
        <vertAlign val="subscript"/>
        <sz val="11"/>
        <color theme="1"/>
        <rFont val="Calibri"/>
      </rPr>
      <t>x</t>
    </r>
  </si>
  <si>
    <t>Μεικτή θερμογόνος δύναμη</t>
  </si>
  <si>
    <t>Χρόνος χρήσης λέβητα</t>
  </si>
  <si>
    <r>
      <t>t</t>
    </r>
    <r>
      <rPr>
        <vertAlign val="subscript"/>
        <sz val="11"/>
        <color theme="1"/>
        <rFont val="Calibri"/>
      </rPr>
      <t>gen</t>
    </r>
  </si>
  <si>
    <t>s</t>
  </si>
  <si>
    <r>
      <t>Συγκέντρωση CO</t>
    </r>
    <r>
      <rPr>
        <vertAlign val="subscript"/>
        <sz val="11"/>
        <color theme="1"/>
        <rFont val="Calibri"/>
      </rPr>
      <t>2</t>
    </r>
    <r>
      <rPr>
        <sz val="11"/>
        <color theme="1"/>
        <rFont val="Calibri"/>
      </rPr>
      <t xml:space="preserve"> στα καυσαέρια</t>
    </r>
  </si>
  <si>
    <r>
      <t>X</t>
    </r>
    <r>
      <rPr>
        <vertAlign val="subscript"/>
        <sz val="11"/>
        <color theme="1"/>
        <rFont val="Calibri"/>
      </rPr>
      <t>CO2;fg;dry</t>
    </r>
  </si>
  <si>
    <t>Εποχιακός χρόνος χρήσης βαλβίδας καυσίμου</t>
  </si>
  <si>
    <r>
      <t>t</t>
    </r>
    <r>
      <rPr>
        <vertAlign val="subscript"/>
        <sz val="11"/>
        <color theme="1"/>
        <rFont val="Calibri"/>
      </rPr>
      <t>on</t>
    </r>
  </si>
  <si>
    <t>Θερμοκρασία λεβητοστάσιου</t>
  </si>
  <si>
    <r>
      <t>θ</t>
    </r>
    <r>
      <rPr>
        <vertAlign val="subscript"/>
        <sz val="11"/>
        <color theme="1"/>
        <rFont val="Calibri"/>
      </rPr>
      <t>int,br</t>
    </r>
  </si>
  <si>
    <r>
      <t>φ</t>
    </r>
    <r>
      <rPr>
        <vertAlign val="subscript"/>
        <sz val="11"/>
        <color theme="1"/>
        <rFont val="Calibri"/>
      </rPr>
      <t>air</t>
    </r>
  </si>
  <si>
    <r>
      <rPr>
        <vertAlign val="superscript"/>
        <sz val="11"/>
        <color theme="1"/>
        <rFont val="Calibri"/>
      </rPr>
      <t>o</t>
    </r>
    <r>
      <rPr>
        <sz val="11"/>
        <color theme="1"/>
        <rFont val="Calibri"/>
      </rPr>
      <t>C</t>
    </r>
  </si>
  <si>
    <r>
      <t>Μεθοδολογία υπολογισμού μέσου φορτίου λέβητα, β</t>
    </r>
    <r>
      <rPr>
        <vertAlign val="subscript"/>
        <sz val="11"/>
        <color theme="1"/>
        <rFont val="Calibri"/>
      </rPr>
      <t>comb,seas</t>
    </r>
  </si>
  <si>
    <t>Μεθοδολογιία μέτρησης χρόνου λειτουργίας</t>
  </si>
  <si>
    <r>
      <t>φ</t>
    </r>
    <r>
      <rPr>
        <vertAlign val="subscript"/>
        <sz val="11"/>
        <color theme="1"/>
        <rFont val="Calibri"/>
      </rPr>
      <t>fg</t>
    </r>
  </si>
  <si>
    <t xml:space="preserve">Προσδιορισμός συντελεστή απωλειών (απώλειες ακτινοβολίας) </t>
  </si>
  <si>
    <t>Μεθοδολογία υπολογισμού συντελεστή απωλειών</t>
  </si>
  <si>
    <t>Εμπειρική μέθοδος</t>
  </si>
  <si>
    <t>Δ/Ε</t>
  </si>
  <si>
    <t>Υπολογισμοί</t>
  </si>
  <si>
    <t xml:space="preserve"> Μέθοδος απωλειών κελύφους λέβητα (Αναλυτική Μέθοδος) </t>
  </si>
  <si>
    <r>
      <t>α</t>
    </r>
    <r>
      <rPr>
        <vertAlign val="subscript"/>
        <sz val="11"/>
        <color theme="1"/>
        <rFont val="Calibri"/>
      </rPr>
      <t>ch,on</t>
    </r>
  </si>
  <si>
    <t>Α/Α Πεπερασμένου στοιχείου</t>
  </si>
  <si>
    <r>
      <t>Εμβαδό στοιχείου A</t>
    </r>
    <r>
      <rPr>
        <vertAlign val="subscript"/>
        <sz val="11"/>
        <color theme="1"/>
        <rFont val="Calibri"/>
      </rPr>
      <t>i</t>
    </r>
    <r>
      <rPr>
        <sz val="11"/>
        <color theme="1"/>
        <rFont val="Calibri"/>
      </rPr>
      <t xml:space="preserve"> (m</t>
    </r>
    <r>
      <rPr>
        <vertAlign val="superscript"/>
        <sz val="11"/>
        <color theme="1"/>
        <rFont val="Calibri"/>
      </rPr>
      <t>2</t>
    </r>
    <r>
      <rPr>
        <sz val="11"/>
        <color theme="1"/>
        <rFont val="Calibri"/>
      </rPr>
      <t>)</t>
    </r>
  </si>
  <si>
    <r>
      <t>Επιφανειακή θερμοκρασία, θ</t>
    </r>
    <r>
      <rPr>
        <vertAlign val="subscript"/>
        <sz val="11"/>
        <color theme="1"/>
        <rFont val="Calibri"/>
      </rPr>
      <t xml:space="preserve">ge,l  </t>
    </r>
    <r>
      <rPr>
        <sz val="11"/>
        <color theme="1"/>
        <rFont val="Calibri"/>
      </rPr>
      <t>(</t>
    </r>
    <r>
      <rPr>
        <vertAlign val="superscript"/>
        <sz val="11"/>
        <color theme="1"/>
        <rFont val="Calibri"/>
      </rPr>
      <t>o</t>
    </r>
    <r>
      <rPr>
        <sz val="11"/>
        <color theme="1"/>
        <rFont val="Calibri"/>
      </rPr>
      <t>C)</t>
    </r>
  </si>
  <si>
    <r>
      <t>α</t>
    </r>
    <r>
      <rPr>
        <vertAlign val="subscript"/>
        <sz val="11"/>
        <color theme="1"/>
        <rFont val="Calibri"/>
      </rPr>
      <t>ch,on,Hs</t>
    </r>
  </si>
  <si>
    <r>
      <t>V</t>
    </r>
    <r>
      <rPr>
        <vertAlign val="subscript"/>
        <sz val="11"/>
        <color theme="1"/>
        <rFont val="Calibri"/>
      </rPr>
      <t>fg,dry</t>
    </r>
  </si>
  <si>
    <r>
      <t>V</t>
    </r>
    <r>
      <rPr>
        <vertAlign val="subscript"/>
        <sz val="11"/>
        <color theme="1"/>
        <rFont val="Calibri"/>
      </rPr>
      <t>air,dry</t>
    </r>
  </si>
  <si>
    <r>
      <t>Μέση θερμοκρασία νερού θέρμανσης,  θ</t>
    </r>
    <r>
      <rPr>
        <vertAlign val="subscript"/>
        <sz val="11"/>
        <color theme="1"/>
        <rFont val="Calibri"/>
      </rPr>
      <t>gen;w</t>
    </r>
    <r>
      <rPr>
        <sz val="11"/>
        <color theme="1"/>
        <rFont val="Calibri"/>
      </rPr>
      <t xml:space="preserve">  (</t>
    </r>
    <r>
      <rPr>
        <vertAlign val="superscript"/>
        <sz val="11"/>
        <color theme="1"/>
        <rFont val="Calibri"/>
      </rPr>
      <t>o</t>
    </r>
    <r>
      <rPr>
        <sz val="11"/>
        <color theme="1"/>
        <rFont val="Calibri"/>
      </rPr>
      <t>C)</t>
    </r>
  </si>
  <si>
    <r>
      <t>Θερμοκρασία λεβητοστασίου. θ</t>
    </r>
    <r>
      <rPr>
        <vertAlign val="subscript"/>
        <sz val="11"/>
        <color theme="1"/>
        <rFont val="Calibri"/>
      </rPr>
      <t>int,br</t>
    </r>
    <r>
      <rPr>
        <sz val="11"/>
        <color theme="1"/>
        <rFont val="Calibri"/>
      </rPr>
      <t xml:space="preserve"> (</t>
    </r>
    <r>
      <rPr>
        <vertAlign val="superscript"/>
        <sz val="11"/>
        <color theme="1"/>
        <rFont val="Calibri"/>
      </rPr>
      <t>o</t>
    </r>
    <r>
      <rPr>
        <sz val="11"/>
        <color theme="1"/>
        <rFont val="Calibri"/>
      </rPr>
      <t>C)</t>
    </r>
  </si>
  <si>
    <t xml:space="preserve">Εμπειρική μέθοδος </t>
  </si>
  <si>
    <t>Επιλογή τύπου λέβητα</t>
  </si>
  <si>
    <t>Λέβητας καλά θερμομονωμένος - καλά συντηρημένος</t>
  </si>
  <si>
    <r>
      <t>ξ</t>
    </r>
    <r>
      <rPr>
        <vertAlign val="subscript"/>
        <sz val="11"/>
        <color theme="1"/>
        <rFont val="Calibri"/>
      </rPr>
      <t>H2O,air,sat</t>
    </r>
  </si>
  <si>
    <t xml:space="preserve">Συντελεστής απωλειών καπνοδόχου με ανενεργό καυστήρα </t>
  </si>
  <si>
    <r>
      <t>Τιμές συντελεστή απωλειών καπνοδόχου α</t>
    </r>
    <r>
      <rPr>
        <vertAlign val="subscript"/>
        <sz val="11"/>
        <color theme="1"/>
        <rFont val="Calibri"/>
      </rPr>
      <t>ch,off</t>
    </r>
    <r>
      <rPr>
        <sz val="11"/>
        <color theme="1"/>
        <rFont val="Calibri"/>
      </rPr>
      <t xml:space="preserve"> </t>
    </r>
  </si>
  <si>
    <t>Επιλογή περιγραφής λέβητα βάση της πιο κάτω αρίθμησης</t>
  </si>
  <si>
    <r>
      <t>ξ</t>
    </r>
    <r>
      <rPr>
        <vertAlign val="subscript"/>
        <sz val="11"/>
        <color theme="1"/>
        <rFont val="Calibri"/>
      </rPr>
      <t>H2O,fg,sat</t>
    </r>
  </si>
  <si>
    <t>Α/Α</t>
  </si>
  <si>
    <r>
      <t>m</t>
    </r>
    <r>
      <rPr>
        <vertAlign val="subscript"/>
        <sz val="11"/>
        <color theme="1"/>
        <rFont val="Calibri"/>
      </rPr>
      <t>H2O,air</t>
    </r>
  </si>
  <si>
    <r>
      <t>m</t>
    </r>
    <r>
      <rPr>
        <vertAlign val="subscript"/>
        <sz val="11"/>
        <color theme="1"/>
        <rFont val="Calibri"/>
      </rPr>
      <t>H2O,fg</t>
    </r>
  </si>
  <si>
    <r>
      <t>α</t>
    </r>
    <r>
      <rPr>
        <vertAlign val="subscript"/>
        <sz val="11"/>
        <color theme="1"/>
        <rFont val="Calibri"/>
      </rPr>
      <t>ch,off</t>
    </r>
    <r>
      <rPr>
        <sz val="11"/>
        <color theme="1"/>
        <rFont val="Calibri"/>
      </rPr>
      <t xml:space="preserve">  %</t>
    </r>
  </si>
  <si>
    <r>
      <t>m</t>
    </r>
    <r>
      <rPr>
        <vertAlign val="subscript"/>
        <sz val="11"/>
        <color theme="1"/>
        <rFont val="Calibri"/>
      </rPr>
      <t>H2O,cond</t>
    </r>
  </si>
  <si>
    <t xml:space="preserve">Υγρό ή αέριο καύσιμο, λέβητας με στοιχείο ανεμιστήρα πριν τον θάλαμο καύσης, αυτόματη φραγή παροχής αέρα καύσης </t>
  </si>
  <si>
    <t>Υγρό ή αέριο καύσιμο, λέβητας με στοιχείο ανεμιστήρα πριν τον θάλαμο καύσης, αυτόματη φραγή παροχής αέρα καύσης – Καυστήρες προανάμιξης</t>
  </si>
  <si>
    <t xml:space="preserve">Επιτοίχιος λέβητας αέριου καυσίμου με στοιχείο ανεμιστήρα – επιτοίχιος καπνοδόχος </t>
  </si>
  <si>
    <t>4. Υγρό ή αέριο καύσιμο, λέβητας με στοιχείο ανεμιστήρα πριν τον θάλαμο καύσης, χωρίς αυτόματη φραγή παροχής αέρα καύσης – ύψος καπνοδόχου &lt; 10m</t>
  </si>
  <si>
    <r>
      <t>m</t>
    </r>
    <r>
      <rPr>
        <vertAlign val="subscript"/>
        <sz val="11"/>
        <color theme="1"/>
        <rFont val="Calibri"/>
      </rPr>
      <t xml:space="preserve">H2O,cond </t>
    </r>
    <r>
      <rPr>
        <sz val="11"/>
        <color theme="1"/>
        <rFont val="Calibri"/>
      </rPr>
      <t>final</t>
    </r>
  </si>
  <si>
    <t xml:space="preserve">Υγρό ή αέριο καύσιμο, λέβητας με στοιχείο ανεμιστήρα πριν τον θάλαμο καύσης, χωρίς αυτόματη φραγή παροχής αέρα καύσης – ύψος καπνοδόχου &gt; 10m </t>
  </si>
  <si>
    <t>Λέβητες αερίου – ύψος καπνοδόχου &lt; 10m</t>
  </si>
  <si>
    <t>Λέβητες αερίου – ύψος καπνοδόχου &gt; 10m</t>
  </si>
  <si>
    <r>
      <t>h</t>
    </r>
    <r>
      <rPr>
        <vertAlign val="subscript"/>
        <sz val="11"/>
        <color theme="1"/>
        <rFont val="Calibri"/>
      </rPr>
      <t>cond;fg</t>
    </r>
  </si>
  <si>
    <t>J/kg</t>
  </si>
  <si>
    <t xml:space="preserve">Συνολικές απώλειες αναμονής </t>
  </si>
  <si>
    <t xml:space="preserve">Μεθοδολογία υπολογισμού  απώλειών αναμονής </t>
  </si>
  <si>
    <t>Μέθοδος βοηθητικού καυστήρα</t>
  </si>
  <si>
    <t xml:space="preserve">Συντελεστής λειτουργίας αναμονής </t>
  </si>
  <si>
    <t>Wh/kg</t>
  </si>
  <si>
    <r>
      <t>Q</t>
    </r>
    <r>
      <rPr>
        <vertAlign val="subscript"/>
        <sz val="11"/>
        <color theme="1"/>
        <rFont val="Calibri"/>
      </rPr>
      <t>cond</t>
    </r>
  </si>
  <si>
    <t>J</t>
  </si>
  <si>
    <t>Wh</t>
  </si>
  <si>
    <r>
      <t>a</t>
    </r>
    <r>
      <rPr>
        <vertAlign val="subscript"/>
        <sz val="11"/>
        <color theme="1"/>
        <rFont val="Calibri"/>
      </rPr>
      <t>cond</t>
    </r>
  </si>
  <si>
    <t>Χρόνος καύσης</t>
  </si>
  <si>
    <r>
      <t>t</t>
    </r>
    <r>
      <rPr>
        <vertAlign val="subscript"/>
        <sz val="11"/>
        <color theme="1"/>
        <rFont val="Calibri"/>
      </rPr>
      <t>on</t>
    </r>
  </si>
  <si>
    <r>
      <t>a</t>
    </r>
    <r>
      <rPr>
        <vertAlign val="subscript"/>
        <sz val="11"/>
        <color theme="1"/>
        <rFont val="Calibri"/>
      </rPr>
      <t>cond;Hs</t>
    </r>
  </si>
  <si>
    <t>h</t>
  </si>
  <si>
    <t>Χρόνος δοκιμής</t>
  </si>
  <si>
    <r>
      <t>t</t>
    </r>
    <r>
      <rPr>
        <vertAlign val="subscript"/>
        <sz val="11"/>
        <color theme="1"/>
        <rFont val="Calibri"/>
      </rPr>
      <t>test</t>
    </r>
  </si>
  <si>
    <r>
      <t>a</t>
    </r>
    <r>
      <rPr>
        <vertAlign val="subscript"/>
        <sz val="11"/>
        <color theme="1"/>
        <rFont val="Calibri"/>
      </rPr>
      <t>cond FINAL</t>
    </r>
  </si>
  <si>
    <t>Τύπος λέβητα</t>
  </si>
  <si>
    <r>
      <t>η</t>
    </r>
    <r>
      <rPr>
        <vertAlign val="subscript"/>
        <sz val="11"/>
        <color theme="1"/>
        <rFont val="Calibri"/>
      </rPr>
      <t>comb</t>
    </r>
  </si>
  <si>
    <t>Λέβητας πολλαπλών βαθμίδων</t>
  </si>
  <si>
    <t>Ελάχιστη ισχύ του λέβητα (λέβητες πολλαπλών βαθμίδων)</t>
  </si>
  <si>
    <r>
      <t>η</t>
    </r>
    <r>
      <rPr>
        <vertAlign val="subscript"/>
        <sz val="11"/>
        <color theme="1"/>
        <rFont val="Calibri"/>
      </rPr>
      <t>comb,Hs</t>
    </r>
  </si>
  <si>
    <r>
      <t>Φ</t>
    </r>
    <r>
      <rPr>
        <vertAlign val="subscript"/>
        <sz val="11"/>
        <color theme="1"/>
        <rFont val="Calibri"/>
      </rPr>
      <t>comb,min</t>
    </r>
  </si>
  <si>
    <r>
      <t>η</t>
    </r>
    <r>
      <rPr>
        <vertAlign val="subscript"/>
        <sz val="11"/>
        <color theme="1"/>
        <rFont val="Calibri"/>
      </rPr>
      <t>comb FINAL</t>
    </r>
  </si>
  <si>
    <t xml:space="preserve">Μέθοδος βοηθητικού καυστήρα </t>
  </si>
  <si>
    <t>Ενέργεια που παρέχεται στο νερό από την δευτερεύουσας πηγής θερμότητας</t>
  </si>
  <si>
    <r>
      <t>Q</t>
    </r>
    <r>
      <rPr>
        <vertAlign val="subscript"/>
        <sz val="11"/>
        <color theme="1"/>
        <rFont val="Calibri"/>
      </rPr>
      <t>auxh</t>
    </r>
  </si>
  <si>
    <t>Βαθμός απόδοσης καύσης</t>
  </si>
  <si>
    <t>Απώλειες βοηθητικού θερμαντήρα</t>
  </si>
  <si>
    <r>
      <t>η</t>
    </r>
    <r>
      <rPr>
        <vertAlign val="subscript"/>
        <sz val="11"/>
        <color theme="1"/>
        <rFont val="Calibri"/>
      </rPr>
      <t>comb</t>
    </r>
  </si>
  <si>
    <r>
      <t>Q</t>
    </r>
    <r>
      <rPr>
        <vertAlign val="subscript"/>
        <sz val="11"/>
        <color theme="1"/>
        <rFont val="Calibri"/>
      </rPr>
      <t>ls,auxh</t>
    </r>
  </si>
  <si>
    <t xml:space="preserve">0 έως 110 </t>
  </si>
  <si>
    <t xml:space="preserve">Απόδοσης  αντλίας </t>
  </si>
  <si>
    <r>
      <t>η</t>
    </r>
    <r>
      <rPr>
        <vertAlign val="subscript"/>
        <sz val="11"/>
        <color theme="1"/>
        <rFont val="Calibri"/>
      </rPr>
      <t>pump</t>
    </r>
  </si>
  <si>
    <t xml:space="preserve">Ηλεκτρικής ενέργειας κατανάλωσης από την αντλία </t>
  </si>
  <si>
    <r>
      <t>W</t>
    </r>
    <r>
      <rPr>
        <vertAlign val="subscript"/>
        <sz val="11"/>
        <color theme="1"/>
        <rFont val="Calibri"/>
      </rPr>
      <t>pump</t>
    </r>
  </si>
  <si>
    <r>
      <t>V</t>
    </r>
    <r>
      <rPr>
        <vertAlign val="subscript"/>
        <sz val="11"/>
        <color theme="1"/>
        <rFont val="Calibri"/>
      </rPr>
      <t>del</t>
    </r>
  </si>
  <si>
    <r>
      <t xml:space="preserve">0 εώς </t>
    </r>
    <r>
      <rPr>
        <sz val="11"/>
        <color theme="1"/>
        <rFont val="Calibri"/>
      </rPr>
      <t xml:space="preserve">∞ </t>
    </r>
  </si>
  <si>
    <r>
      <t>Φ</t>
    </r>
    <r>
      <rPr>
        <vertAlign val="subscript"/>
        <sz val="11"/>
        <color theme="1"/>
        <rFont val="Calibri"/>
      </rPr>
      <t>comb</t>
    </r>
  </si>
  <si>
    <r>
      <t xml:space="preserve">0 εώς </t>
    </r>
    <r>
      <rPr>
        <sz val="11"/>
        <color theme="1"/>
        <rFont val="Calibri"/>
      </rPr>
      <t xml:space="preserve">∞ </t>
    </r>
  </si>
  <si>
    <r>
      <t>Θερμογόνος δύναμη για υπολογισμό Φ</t>
    </r>
    <r>
      <rPr>
        <vertAlign val="subscript"/>
        <sz val="11"/>
        <color theme="1"/>
        <rFont val="Calibri"/>
      </rPr>
      <t>comb</t>
    </r>
  </si>
  <si>
    <r>
      <t>H</t>
    </r>
    <r>
      <rPr>
        <vertAlign val="subscript"/>
        <sz val="11"/>
        <color theme="1"/>
        <rFont val="Calibri"/>
      </rPr>
      <t>x</t>
    </r>
  </si>
  <si>
    <r>
      <t>t</t>
    </r>
    <r>
      <rPr>
        <vertAlign val="subscript"/>
        <sz val="11"/>
        <color theme="1"/>
        <rFont val="Calibri"/>
      </rPr>
      <t>gen</t>
    </r>
  </si>
  <si>
    <r>
      <t xml:space="preserve">0 εώς </t>
    </r>
    <r>
      <rPr>
        <sz val="11"/>
        <color theme="1"/>
        <rFont val="Calibri"/>
      </rPr>
      <t xml:space="preserve">∞ </t>
    </r>
  </si>
  <si>
    <r>
      <t>t</t>
    </r>
    <r>
      <rPr>
        <vertAlign val="subscript"/>
        <sz val="11"/>
        <color theme="1"/>
        <rFont val="Calibri"/>
      </rPr>
      <t>on</t>
    </r>
  </si>
  <si>
    <r>
      <t xml:space="preserve">0 εώς </t>
    </r>
    <r>
      <rPr>
        <sz val="11"/>
        <color theme="1"/>
        <rFont val="Calibri"/>
      </rPr>
      <t xml:space="preserve">∞ </t>
    </r>
  </si>
  <si>
    <r>
      <t>θ</t>
    </r>
    <r>
      <rPr>
        <vertAlign val="subscript"/>
        <sz val="11"/>
        <color theme="1"/>
        <rFont val="Calibri"/>
      </rPr>
      <t>int,br</t>
    </r>
  </si>
  <si>
    <r>
      <rPr>
        <vertAlign val="superscript"/>
        <sz val="11"/>
        <color theme="1"/>
        <rFont val="Calibri"/>
      </rPr>
      <t>o</t>
    </r>
    <r>
      <rPr>
        <sz val="11"/>
        <color theme="1"/>
        <rFont val="Calibri"/>
      </rPr>
      <t>C</t>
    </r>
  </si>
  <si>
    <r>
      <t xml:space="preserve">0 εώς </t>
    </r>
    <r>
      <rPr>
        <sz val="11"/>
        <color theme="1"/>
        <rFont val="Calibri"/>
      </rPr>
      <t xml:space="preserve">50 </t>
    </r>
  </si>
  <si>
    <t>Προσδιορισμός μέσου φορτίου λέβητα</t>
  </si>
  <si>
    <t>Μεθοδολογία χρήσης καυσίμου</t>
  </si>
  <si>
    <r>
      <t>H</t>
    </r>
    <r>
      <rPr>
        <vertAlign val="subscript"/>
        <sz val="11"/>
        <color theme="1"/>
        <rFont val="Calibri"/>
      </rPr>
      <t>s</t>
    </r>
  </si>
  <si>
    <r>
      <t>H</t>
    </r>
    <r>
      <rPr>
        <vertAlign val="subscript"/>
        <sz val="11"/>
        <color theme="1"/>
        <rFont val="Calibri"/>
      </rPr>
      <t>i</t>
    </r>
  </si>
  <si>
    <t>tgen</t>
  </si>
  <si>
    <t>Vdel in kg (for oil fuels)</t>
  </si>
  <si>
    <t>Vdel in m3 (for gaseous fuels)</t>
  </si>
  <si>
    <t>Vdel in Nm3 (for gaseous fuels)</t>
  </si>
  <si>
    <r>
      <t>β</t>
    </r>
    <r>
      <rPr>
        <vertAlign val="subscript"/>
        <sz val="11"/>
        <color theme="1"/>
        <rFont val="Calibri"/>
      </rPr>
      <t>comb,seas</t>
    </r>
  </si>
  <si>
    <t xml:space="preserve">Μεθοδολογία μέτρησης χρόνου λειτουργίας </t>
  </si>
  <si>
    <t>ton</t>
  </si>
  <si>
    <r>
      <t>β</t>
    </r>
    <r>
      <rPr>
        <vertAlign val="subscript"/>
        <sz val="11"/>
        <color theme="1"/>
        <rFont val="Calibri"/>
      </rPr>
      <t>comb,seas</t>
    </r>
  </si>
  <si>
    <r>
      <t>β</t>
    </r>
    <r>
      <rPr>
        <vertAlign val="subscript"/>
        <sz val="11"/>
        <color theme="1"/>
        <rFont val="Calibri"/>
      </rPr>
      <t>comb,seas FINAL</t>
    </r>
  </si>
  <si>
    <t xml:space="preserve"> Συντελεστές μετάδοσης θερμότητας από το κέλυφος του λέβητα</t>
  </si>
  <si>
    <r>
      <t>Επιφανειακή Θερμοκρασία Λέβητα (</t>
    </r>
    <r>
      <rPr>
        <vertAlign val="superscript"/>
        <sz val="11"/>
        <color theme="1"/>
        <rFont val="Calibri"/>
      </rPr>
      <t>o</t>
    </r>
    <r>
      <rPr>
        <sz val="11"/>
        <color theme="1"/>
        <rFont val="Calibri"/>
      </rPr>
      <t>C)</t>
    </r>
  </si>
  <si>
    <r>
      <t>Συντελεστής Μετάδοσης Θερμότητας, h</t>
    </r>
    <r>
      <rPr>
        <vertAlign val="subscript"/>
        <sz val="11"/>
        <color theme="1"/>
        <rFont val="Calibri"/>
      </rPr>
      <t>i</t>
    </r>
    <r>
      <rPr>
        <sz val="11"/>
        <color theme="1"/>
        <rFont val="Calibri"/>
      </rPr>
      <t xml:space="preserve">  (W/m</t>
    </r>
    <r>
      <rPr>
        <vertAlign val="superscript"/>
        <sz val="11"/>
        <color theme="1"/>
        <rFont val="Calibri"/>
      </rPr>
      <t>2o</t>
    </r>
    <r>
      <rPr>
        <sz val="11"/>
        <color theme="1"/>
        <rFont val="Calibri"/>
      </rPr>
      <t>C)</t>
    </r>
  </si>
  <si>
    <r>
      <t>Εμβαδό στοιχείου A</t>
    </r>
    <r>
      <rPr>
        <vertAlign val="subscript"/>
        <sz val="11"/>
        <color theme="1"/>
        <rFont val="Calibri"/>
      </rPr>
      <t>i</t>
    </r>
    <r>
      <rPr>
        <sz val="11"/>
        <color theme="1"/>
        <rFont val="Calibri"/>
      </rPr>
      <t xml:space="preserve"> (m</t>
    </r>
    <r>
      <rPr>
        <vertAlign val="superscript"/>
        <sz val="11"/>
        <color theme="1"/>
        <rFont val="Calibri"/>
      </rPr>
      <t>2</t>
    </r>
    <r>
      <rPr>
        <sz val="11"/>
        <color theme="1"/>
        <rFont val="Calibri"/>
      </rPr>
      <t>)</t>
    </r>
  </si>
  <si>
    <r>
      <t>Επιφανειακή θερμοκρασία, θ</t>
    </r>
    <r>
      <rPr>
        <vertAlign val="subscript"/>
        <sz val="11"/>
        <color theme="1"/>
        <rFont val="Calibri"/>
      </rPr>
      <t xml:space="preserve">ge,l  </t>
    </r>
    <r>
      <rPr>
        <sz val="11"/>
        <color theme="1"/>
        <rFont val="Calibri"/>
      </rPr>
      <t>(</t>
    </r>
    <r>
      <rPr>
        <vertAlign val="superscript"/>
        <sz val="11"/>
        <color theme="1"/>
        <rFont val="Calibri"/>
      </rPr>
      <t>o</t>
    </r>
    <r>
      <rPr>
        <sz val="11"/>
        <color theme="1"/>
        <rFont val="Calibri"/>
      </rPr>
      <t>C)</t>
    </r>
  </si>
  <si>
    <r>
      <t>ΔΤ Επιφανειακή θερμοκρασία - Θερμοκρασία λεβητοστάσιου (</t>
    </r>
    <r>
      <rPr>
        <vertAlign val="superscript"/>
        <sz val="11"/>
        <color theme="1"/>
        <rFont val="Calibri"/>
      </rPr>
      <t>o</t>
    </r>
    <r>
      <rPr>
        <sz val="11"/>
        <color theme="1"/>
        <rFont val="Calibri"/>
      </rPr>
      <t>C)</t>
    </r>
  </si>
  <si>
    <r>
      <t xml:space="preserve"> Συντελεστή μετάδοσης θερμότητας, h</t>
    </r>
    <r>
      <rPr>
        <vertAlign val="subscript"/>
        <sz val="11"/>
        <color theme="1"/>
        <rFont val="Calibri"/>
      </rPr>
      <t xml:space="preserve">i </t>
    </r>
    <r>
      <rPr>
        <sz val="11"/>
        <color theme="1"/>
        <rFont val="Calibri"/>
      </rPr>
      <t>(W/m</t>
    </r>
    <r>
      <rPr>
        <vertAlign val="superscript"/>
        <sz val="11"/>
        <color theme="1"/>
        <rFont val="Calibri"/>
      </rPr>
      <t>2o</t>
    </r>
    <r>
      <rPr>
        <sz val="11"/>
        <color theme="1"/>
        <rFont val="Calibri"/>
      </rPr>
      <t>C)</t>
    </r>
  </si>
  <si>
    <t>Ai * hi * (θge,I - θint;br)</t>
  </si>
  <si>
    <t>SUM</t>
  </si>
  <si>
    <r>
      <t>α</t>
    </r>
    <r>
      <rPr>
        <vertAlign val="subscript"/>
        <sz val="11"/>
        <color theme="1"/>
        <rFont val="Calibri"/>
      </rPr>
      <t>ge,meas</t>
    </r>
  </si>
  <si>
    <r>
      <t>for θ</t>
    </r>
    <r>
      <rPr>
        <b/>
        <vertAlign val="subscript"/>
        <sz val="11"/>
        <color theme="1"/>
        <rFont val="Calibri"/>
      </rPr>
      <t>gen;w</t>
    </r>
    <r>
      <rPr>
        <b/>
        <sz val="11"/>
        <color theme="1"/>
        <rFont val="Calibri"/>
      </rPr>
      <t xml:space="preserve"> = 70</t>
    </r>
    <r>
      <rPr>
        <b/>
        <vertAlign val="superscript"/>
        <sz val="11"/>
        <color theme="1"/>
        <rFont val="Calibri"/>
      </rPr>
      <t>o</t>
    </r>
    <r>
      <rPr>
        <b/>
        <sz val="11"/>
        <color theme="1"/>
        <rFont val="Calibri"/>
      </rPr>
      <t>C and θ</t>
    </r>
    <r>
      <rPr>
        <b/>
        <vertAlign val="subscript"/>
        <sz val="11"/>
        <color theme="1"/>
        <rFont val="Calibri"/>
      </rPr>
      <t>int,br</t>
    </r>
    <r>
      <rPr>
        <b/>
        <sz val="11"/>
        <color theme="1"/>
        <rFont val="Calibri"/>
      </rPr>
      <t xml:space="preserve"> = 20</t>
    </r>
    <r>
      <rPr>
        <b/>
        <vertAlign val="superscript"/>
        <sz val="11"/>
        <color theme="1"/>
        <rFont val="Calibri"/>
      </rPr>
      <t>o</t>
    </r>
    <r>
      <rPr>
        <b/>
        <sz val="11"/>
        <color theme="1"/>
        <rFont val="Calibri"/>
      </rPr>
      <t>C</t>
    </r>
  </si>
  <si>
    <t>If other temperatures</t>
  </si>
  <si>
    <r>
      <t>θ</t>
    </r>
    <r>
      <rPr>
        <vertAlign val="subscript"/>
        <sz val="11"/>
        <color theme="1"/>
        <rFont val="Calibri"/>
      </rPr>
      <t>gen;w</t>
    </r>
    <r>
      <rPr>
        <sz val="11"/>
        <color theme="1"/>
        <rFont val="Calibri"/>
      </rPr>
      <t xml:space="preserve"> </t>
    </r>
  </si>
  <si>
    <r>
      <t>θ</t>
    </r>
    <r>
      <rPr>
        <vertAlign val="subscript"/>
        <sz val="11"/>
        <color theme="1"/>
        <rFont val="Calibri"/>
      </rPr>
      <t>int,br</t>
    </r>
    <r>
      <rPr>
        <sz val="11"/>
        <color theme="1"/>
        <rFont val="Calibri"/>
      </rPr>
      <t xml:space="preserve"> </t>
    </r>
  </si>
  <si>
    <r>
      <t>α</t>
    </r>
    <r>
      <rPr>
        <vertAlign val="subscript"/>
        <sz val="11"/>
        <color theme="1"/>
        <rFont val="Calibri"/>
      </rPr>
      <t>ge</t>
    </r>
  </si>
  <si>
    <t xml:space="preserve">Τύπος Λέβητα </t>
  </si>
  <si>
    <r>
      <t>C</t>
    </r>
    <r>
      <rPr>
        <vertAlign val="subscript"/>
        <sz val="11"/>
        <color theme="1"/>
        <rFont val="Calibri"/>
      </rPr>
      <t>3</t>
    </r>
    <r>
      <rPr>
        <sz val="11"/>
        <color theme="1"/>
        <rFont val="Calibri"/>
      </rPr>
      <t>%</t>
    </r>
  </si>
  <si>
    <r>
      <t>C</t>
    </r>
    <r>
      <rPr>
        <vertAlign val="subscript"/>
        <sz val="11"/>
        <color theme="1"/>
        <rFont val="Calibri"/>
      </rPr>
      <t>4</t>
    </r>
    <r>
      <rPr>
        <sz val="11"/>
        <color theme="1"/>
        <rFont val="Calibri"/>
      </rPr>
      <t>%</t>
    </r>
  </si>
  <si>
    <t xml:space="preserve">Λέβητας καλά θερμομονωμένος, καινούριος </t>
  </si>
  <si>
    <t xml:space="preserve"> Λέβητας καλά θερμομονωμένος, καλά συντηρημένος</t>
  </si>
  <si>
    <t>Λέβητας θερμομονωμένος, &gt; 10 ετών</t>
  </si>
  <si>
    <t xml:space="preserve">Λέβητας ατελώς θερμομονωμένος, &gt; 10 ετών </t>
  </si>
  <si>
    <t xml:space="preserve">Λέβητας χωρίς θερμομόνωση </t>
  </si>
  <si>
    <r>
      <t>C</t>
    </r>
    <r>
      <rPr>
        <vertAlign val="subscript"/>
        <sz val="11"/>
        <color theme="1"/>
        <rFont val="Calibri"/>
      </rPr>
      <t>3</t>
    </r>
  </si>
  <si>
    <r>
      <t>C</t>
    </r>
    <r>
      <rPr>
        <vertAlign val="subscript"/>
        <sz val="11"/>
        <color theme="1"/>
        <rFont val="Calibri"/>
      </rPr>
      <t>4</t>
    </r>
  </si>
  <si>
    <r>
      <t>α</t>
    </r>
    <r>
      <rPr>
        <vertAlign val="subscript"/>
        <sz val="11"/>
        <color theme="1"/>
        <rFont val="Calibri"/>
      </rPr>
      <t>ge</t>
    </r>
  </si>
  <si>
    <r>
      <t>α</t>
    </r>
    <r>
      <rPr>
        <vertAlign val="subscript"/>
        <sz val="11"/>
        <color theme="1"/>
        <rFont val="Calibri"/>
      </rPr>
      <t>ge FINAL</t>
    </r>
  </si>
  <si>
    <r>
      <t>Τιμές συντελεστή απωλειών καπνοδόχου α</t>
    </r>
    <r>
      <rPr>
        <vertAlign val="subscript"/>
        <sz val="11"/>
        <color theme="1"/>
        <rFont val="Calibri"/>
      </rPr>
      <t>ch,off</t>
    </r>
    <r>
      <rPr>
        <sz val="11"/>
        <color theme="1"/>
        <rFont val="Calibri"/>
      </rPr>
      <t xml:space="preserve"> </t>
    </r>
  </si>
  <si>
    <r>
      <t>α</t>
    </r>
    <r>
      <rPr>
        <vertAlign val="subscript"/>
        <sz val="11"/>
        <color theme="1"/>
        <rFont val="Calibri"/>
      </rPr>
      <t>ch,off</t>
    </r>
    <r>
      <rPr>
        <sz val="11"/>
        <color theme="1"/>
        <rFont val="Calibri"/>
      </rPr>
      <t xml:space="preserve">  %</t>
    </r>
  </si>
  <si>
    <t>Επιλογή περιγραφής λέβητα</t>
  </si>
  <si>
    <r>
      <t>α</t>
    </r>
    <r>
      <rPr>
        <vertAlign val="subscript"/>
        <sz val="11"/>
        <rFont val="Calibri"/>
      </rPr>
      <t>ch,off</t>
    </r>
    <r>
      <rPr>
        <sz val="11"/>
        <rFont val="Calibri"/>
      </rPr>
      <t xml:space="preserve">  </t>
    </r>
  </si>
  <si>
    <r>
      <t>t</t>
    </r>
    <r>
      <rPr>
        <vertAlign val="subscript"/>
        <sz val="11"/>
        <color theme="1"/>
        <rFont val="Calibri"/>
      </rPr>
      <t>test</t>
    </r>
  </si>
  <si>
    <r>
      <t>α</t>
    </r>
    <r>
      <rPr>
        <vertAlign val="subscript"/>
        <sz val="11"/>
        <color theme="1"/>
        <rFont val="Calibri"/>
      </rPr>
      <t>PO</t>
    </r>
  </si>
  <si>
    <r>
      <t>Φ</t>
    </r>
    <r>
      <rPr>
        <vertAlign val="subscript"/>
        <sz val="11"/>
        <color theme="1"/>
        <rFont val="Calibri"/>
      </rPr>
      <t>comb,min</t>
    </r>
  </si>
  <si>
    <r>
      <t>α</t>
    </r>
    <r>
      <rPr>
        <vertAlign val="subscript"/>
        <sz val="11"/>
        <color theme="1"/>
        <rFont val="Calibri"/>
      </rPr>
      <t>PO</t>
    </r>
  </si>
  <si>
    <r>
      <t>Q</t>
    </r>
    <r>
      <rPr>
        <vertAlign val="subscript"/>
        <sz val="11"/>
        <color theme="1"/>
        <rFont val="Calibri"/>
      </rPr>
      <t>auxh</t>
    </r>
  </si>
  <si>
    <r>
      <t>Q</t>
    </r>
    <r>
      <rPr>
        <vertAlign val="subscript"/>
        <sz val="11"/>
        <color theme="1"/>
        <rFont val="Calibri"/>
      </rPr>
      <t>ls,auxh</t>
    </r>
  </si>
  <si>
    <r>
      <t>η</t>
    </r>
    <r>
      <rPr>
        <vertAlign val="subscript"/>
        <sz val="11"/>
        <color theme="1"/>
        <rFont val="Calibri"/>
      </rPr>
      <t>pump</t>
    </r>
  </si>
  <si>
    <r>
      <t>W</t>
    </r>
    <r>
      <rPr>
        <vertAlign val="subscript"/>
        <sz val="11"/>
        <color theme="1"/>
        <rFont val="Calibri"/>
      </rPr>
      <t>pump</t>
    </r>
  </si>
  <si>
    <r>
      <t>Q</t>
    </r>
    <r>
      <rPr>
        <vertAlign val="subscript"/>
        <sz val="11"/>
        <color theme="1"/>
        <rFont val="Calibri"/>
      </rPr>
      <t>ls,PO</t>
    </r>
  </si>
  <si>
    <r>
      <t>α</t>
    </r>
    <r>
      <rPr>
        <vertAlign val="subscript"/>
        <sz val="11"/>
        <color theme="1"/>
        <rFont val="Calibri"/>
      </rPr>
      <t>PO</t>
    </r>
  </si>
  <si>
    <r>
      <t>α</t>
    </r>
    <r>
      <rPr>
        <vertAlign val="subscript"/>
        <sz val="11"/>
        <color theme="1"/>
        <rFont val="Calibri"/>
      </rPr>
      <t>PO FINAL</t>
    </r>
  </si>
  <si>
    <t>Μεθοδολογίες υπολογισμού εποχιακού βαθμού απόδοσης</t>
  </si>
  <si>
    <t xml:space="preserve">Κυκλική μεθοδολογία </t>
  </si>
  <si>
    <r>
      <t>η</t>
    </r>
    <r>
      <rPr>
        <vertAlign val="subscript"/>
        <sz val="11"/>
        <color theme="1"/>
        <rFont val="Calibri"/>
      </rPr>
      <t>b,seas</t>
    </r>
  </si>
  <si>
    <t xml:space="preserve"> Μέθοδος συνολικών απωλειών αναμονής </t>
  </si>
  <si>
    <r>
      <t>η</t>
    </r>
    <r>
      <rPr>
        <vertAlign val="subscript"/>
        <sz val="11"/>
        <color theme="1"/>
        <rFont val="Calibri"/>
      </rPr>
      <t>b,seas</t>
    </r>
  </si>
  <si>
    <r>
      <t>h</t>
    </r>
    <r>
      <rPr>
        <sz val="8"/>
        <color theme="1"/>
        <rFont val="Franklin Gothic Book"/>
        <family val="2"/>
        <charset val="161"/>
      </rPr>
      <t>i</t>
    </r>
    <r>
      <rPr>
        <sz val="10"/>
        <color theme="1"/>
        <rFont val="Franklin Gothic Book"/>
        <family val="2"/>
      </rPr>
      <t xml:space="preserve"> (W/m2oC)    (FORECAST FUNCTION)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</si>
</sst>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Arial"/>
    </font>
    <font>
      <b/>
      <u/>
      <sz val="11"/>
      <color theme="1"/>
      <name val="Calibri"/>
    </font>
    <font>
      <b/>
      <u/>
      <sz val="18"/>
      <color theme="1"/>
      <name val="Calibri"/>
    </font>
    <font>
      <sz val="11"/>
      <name val="Arial"/>
    </font>
    <font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rgb="FF000000"/>
      <name val="Arial"/>
    </font>
    <font>
      <b/>
      <u/>
      <sz val="11"/>
      <color theme="1"/>
      <name val="Calibri"/>
    </font>
    <font>
      <u/>
      <sz val="11"/>
      <color theme="1"/>
      <name val="Calibri"/>
    </font>
    <font>
      <sz val="11"/>
      <color theme="1"/>
      <name val="Arial"/>
    </font>
    <font>
      <b/>
      <u/>
      <sz val="11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  <font>
      <b/>
      <u/>
      <sz val="11"/>
      <color theme="1"/>
      <name val="Calibri"/>
    </font>
    <font>
      <vertAlign val="subscript"/>
      <sz val="11"/>
      <color theme="1"/>
      <name val="Calibri"/>
    </font>
    <font>
      <vertAlign val="superscript"/>
      <sz val="11"/>
      <color theme="1"/>
      <name val="Calibri"/>
    </font>
    <font>
      <b/>
      <vertAlign val="subscript"/>
      <sz val="11"/>
      <color theme="1"/>
      <name val="Calibri"/>
    </font>
    <font>
      <b/>
      <vertAlign val="superscript"/>
      <sz val="11"/>
      <color theme="1"/>
      <name val="Calibri"/>
    </font>
    <font>
      <vertAlign val="subscript"/>
      <sz val="11"/>
      <name val="Calibri"/>
    </font>
    <font>
      <sz val="11"/>
      <name val="Calibri"/>
    </font>
    <font>
      <sz val="10"/>
      <color theme="1"/>
      <name val="Franklin Gothic Book"/>
      <family val="2"/>
    </font>
    <font>
      <sz val="8"/>
      <color theme="1"/>
      <name val="Franklin Gothic Book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8DB3E2"/>
        <bgColor rgb="FF8DB3E2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  <fill>
      <patternFill patternType="solid">
        <fgColor rgb="FFC2D69B"/>
        <bgColor rgb="FFC2D69B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4" fillId="3" borderId="10" xfId="0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0" borderId="15" xfId="0" applyFont="1" applyBorder="1" applyAlignment="1">
      <alignment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/>
    <xf numFmtId="0" fontId="5" fillId="4" borderId="17" xfId="0" applyFont="1" applyFill="1" applyBorder="1"/>
    <xf numFmtId="0" fontId="4" fillId="0" borderId="22" xfId="0" applyFont="1" applyBorder="1"/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4" fillId="0" borderId="15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/>
    <xf numFmtId="0" fontId="7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wrapText="1"/>
    </xf>
    <xf numFmtId="0" fontId="4" fillId="0" borderId="30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/>
    </xf>
    <xf numFmtId="0" fontId="4" fillId="0" borderId="33" xfId="0" applyFont="1" applyBorder="1"/>
    <xf numFmtId="0" fontId="4" fillId="5" borderId="15" xfId="0" applyFont="1" applyFill="1" applyBorder="1"/>
    <xf numFmtId="0" fontId="4" fillId="0" borderId="34" xfId="0" applyFont="1" applyBorder="1"/>
    <xf numFmtId="0" fontId="6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3" borderId="15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4" borderId="43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4" borderId="46" xfId="0" applyFont="1" applyFill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4" fillId="4" borderId="47" xfId="0" applyFont="1" applyFill="1" applyBorder="1" applyAlignment="1">
      <alignment horizontal="center"/>
    </xf>
    <xf numFmtId="0" fontId="4" fillId="4" borderId="43" xfId="0" applyFont="1" applyFill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7" xfId="0" applyFont="1" applyBorder="1"/>
    <xf numFmtId="0" fontId="4" fillId="2" borderId="48" xfId="0" applyFont="1" applyFill="1" applyBorder="1"/>
    <xf numFmtId="0" fontId="4" fillId="2" borderId="49" xfId="0" applyFont="1" applyFill="1" applyBorder="1" applyAlignment="1">
      <alignment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3" borderId="51" xfId="0" applyFont="1" applyFill="1" applyBorder="1" applyAlignment="1">
      <alignment horizontal="left"/>
    </xf>
    <xf numFmtId="0" fontId="6" fillId="0" borderId="13" xfId="0" applyFont="1" applyBorder="1" applyAlignment="1">
      <alignment horizontal="center" vertical="center"/>
    </xf>
    <xf numFmtId="0" fontId="4" fillId="3" borderId="52" xfId="0" applyFont="1" applyFill="1" applyBorder="1"/>
    <xf numFmtId="0" fontId="6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18" xfId="0" applyFont="1" applyBorder="1"/>
    <xf numFmtId="0" fontId="4" fillId="0" borderId="5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2" borderId="5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2" borderId="5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0" borderId="60" xfId="0" applyFont="1" applyBorder="1"/>
    <xf numFmtId="0" fontId="4" fillId="0" borderId="23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/>
    <xf numFmtId="0" fontId="4" fillId="0" borderId="63" xfId="0" applyFont="1" applyBorder="1" applyAlignment="1">
      <alignment horizontal="center"/>
    </xf>
    <xf numFmtId="0" fontId="6" fillId="0" borderId="64" xfId="0" applyFont="1" applyBorder="1" applyAlignment="1">
      <alignment wrapText="1"/>
    </xf>
    <xf numFmtId="0" fontId="4" fillId="9" borderId="15" xfId="0" applyFont="1" applyFill="1" applyBorder="1"/>
    <xf numFmtId="0" fontId="4" fillId="9" borderId="18" xfId="0" applyFont="1" applyFill="1" applyBorder="1"/>
    <xf numFmtId="0" fontId="4" fillId="0" borderId="68" xfId="0" applyFont="1" applyBorder="1" applyAlignment="1">
      <alignment wrapText="1"/>
    </xf>
    <xf numFmtId="0" fontId="4" fillId="0" borderId="69" xfId="0" applyFont="1" applyBorder="1" applyAlignment="1">
      <alignment horizontal="center" vertical="center"/>
    </xf>
    <xf numFmtId="0" fontId="4" fillId="9" borderId="26" xfId="0" applyFont="1" applyFill="1" applyBorder="1"/>
    <xf numFmtId="0" fontId="4" fillId="0" borderId="70" xfId="0" applyFont="1" applyBorder="1" applyAlignment="1">
      <alignment horizontal="center" vertical="center"/>
    </xf>
    <xf numFmtId="0" fontId="4" fillId="9" borderId="30" xfId="0" applyFont="1" applyFill="1" applyBorder="1"/>
    <xf numFmtId="0" fontId="4" fillId="2" borderId="71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vertical="center"/>
    </xf>
    <xf numFmtId="0" fontId="4" fillId="0" borderId="10" xfId="0" applyFont="1" applyBorder="1" applyAlignment="1">
      <alignment wrapText="1"/>
    </xf>
    <xf numFmtId="0" fontId="4" fillId="2" borderId="49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0" xfId="0" applyFont="1" applyBorder="1"/>
    <xf numFmtId="0" fontId="6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5" xfId="0" applyFont="1" applyBorder="1" applyAlignment="1">
      <alignment horizontal="left"/>
    </xf>
    <xf numFmtId="0" fontId="6" fillId="0" borderId="15" xfId="0" applyFont="1" applyBorder="1"/>
    <xf numFmtId="0" fontId="4" fillId="0" borderId="74" xfId="0" applyFont="1" applyBorder="1"/>
    <xf numFmtId="0" fontId="4" fillId="0" borderId="75" xfId="0" applyFont="1" applyBorder="1"/>
    <xf numFmtId="0" fontId="6" fillId="0" borderId="74" xfId="0" applyFont="1" applyBorder="1"/>
    <xf numFmtId="0" fontId="4" fillId="0" borderId="48" xfId="0" applyFont="1" applyBorder="1"/>
    <xf numFmtId="0" fontId="4" fillId="0" borderId="50" xfId="0" applyFont="1" applyBorder="1"/>
    <xf numFmtId="0" fontId="12" fillId="0" borderId="0" xfId="0" applyFont="1"/>
    <xf numFmtId="0" fontId="4" fillId="0" borderId="2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4" xfId="0" applyFont="1" applyBorder="1"/>
    <xf numFmtId="0" fontId="4" fillId="0" borderId="76" xfId="0" applyFont="1" applyBorder="1"/>
    <xf numFmtId="0" fontId="4" fillId="0" borderId="77" xfId="0" applyFont="1" applyBorder="1"/>
    <xf numFmtId="0" fontId="4" fillId="0" borderId="78" xfId="0" applyFont="1" applyBorder="1"/>
    <xf numFmtId="0" fontId="4" fillId="0" borderId="41" xfId="0" applyFont="1" applyBorder="1"/>
    <xf numFmtId="0" fontId="4" fillId="0" borderId="42" xfId="0" applyFont="1" applyBorder="1"/>
    <xf numFmtId="0" fontId="4" fillId="0" borderId="79" xfId="0" applyFont="1" applyBorder="1"/>
    <xf numFmtId="0" fontId="4" fillId="2" borderId="44" xfId="0" applyFont="1" applyFill="1" applyBorder="1"/>
    <xf numFmtId="0" fontId="13" fillId="0" borderId="0" xfId="0" applyFont="1"/>
    <xf numFmtId="0" fontId="4" fillId="2" borderId="26" xfId="0" applyFont="1" applyFill="1" applyBorder="1"/>
    <xf numFmtId="0" fontId="4" fillId="2" borderId="30" xfId="0" applyFont="1" applyFill="1" applyBorder="1"/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48" xfId="0" applyFont="1" applyBorder="1" applyAlignment="1">
      <alignment wrapText="1"/>
    </xf>
    <xf numFmtId="0" fontId="4" fillId="0" borderId="22" xfId="0" applyFont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center"/>
    </xf>
    <xf numFmtId="0" fontId="5" fillId="0" borderId="10" xfId="0" applyFont="1" applyBorder="1"/>
    <xf numFmtId="0" fontId="5" fillId="0" borderId="13" xfId="0" applyFont="1" applyBorder="1"/>
    <xf numFmtId="0" fontId="6" fillId="0" borderId="64" xfId="0" applyFont="1" applyBorder="1" applyAlignment="1">
      <alignment vertical="center" wrapText="1"/>
    </xf>
    <xf numFmtId="0" fontId="5" fillId="0" borderId="18" xfId="0" applyFont="1" applyBorder="1" applyAlignment="1">
      <alignment horizontal="right" vertical="center" wrapText="1"/>
    </xf>
    <xf numFmtId="0" fontId="4" fillId="3" borderId="26" xfId="0" applyFont="1" applyFill="1" applyBorder="1"/>
    <xf numFmtId="0" fontId="4" fillId="3" borderId="30" xfId="0" applyFont="1" applyFill="1" applyBorder="1"/>
    <xf numFmtId="0" fontId="4" fillId="3" borderId="15" xfId="0" applyFont="1" applyFill="1" applyBorder="1"/>
    <xf numFmtId="0" fontId="21" fillId="0" borderId="0" xfId="0" applyFont="1"/>
    <xf numFmtId="0" fontId="21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4" fillId="2" borderId="55" xfId="0" applyFont="1" applyFill="1" applyBorder="1" applyAlignment="1">
      <alignment horizontal="center"/>
    </xf>
    <xf numFmtId="0" fontId="3" fillId="0" borderId="56" xfId="0" applyFont="1" applyBorder="1"/>
    <xf numFmtId="0" fontId="3" fillId="0" borderId="57" xfId="0" applyFont="1" applyBorder="1"/>
    <xf numFmtId="0" fontId="6" fillId="0" borderId="65" xfId="0" applyFont="1" applyBorder="1" applyAlignment="1">
      <alignment horizontal="center" vertical="center"/>
    </xf>
    <xf numFmtId="0" fontId="3" fillId="0" borderId="66" xfId="0" applyFont="1" applyBorder="1"/>
    <xf numFmtId="0" fontId="3" fillId="0" borderId="67" xfId="0" applyFont="1" applyBorder="1"/>
    <xf numFmtId="0" fontId="4" fillId="2" borderId="19" xfId="0" applyFont="1" applyFill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4" fillId="2" borderId="2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left" vertical="center" wrapText="1"/>
    </xf>
    <xf numFmtId="0" fontId="3" fillId="0" borderId="54" xfId="0" applyFont="1" applyBorder="1"/>
    <xf numFmtId="0" fontId="1" fillId="2" borderId="1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6" xfId="0" applyFont="1" applyBorder="1"/>
    <xf numFmtId="0" fontId="5" fillId="7" borderId="25" xfId="0" applyFont="1" applyFill="1" applyBorder="1" applyAlignment="1">
      <alignment horizontal="center" vertical="center"/>
    </xf>
    <xf numFmtId="0" fontId="3" fillId="0" borderId="45" xfId="0" applyFont="1" applyBorder="1"/>
    <xf numFmtId="0" fontId="2" fillId="2" borderId="2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0" borderId="31" xfId="0" applyFont="1" applyBorder="1" applyAlignment="1">
      <alignment horizontal="center" vertical="center"/>
    </xf>
    <xf numFmtId="0" fontId="3" fillId="0" borderId="41" xfId="0" applyFont="1" applyBorder="1"/>
    <xf numFmtId="0" fontId="4" fillId="0" borderId="32" xfId="0" applyFont="1" applyBorder="1" applyAlignment="1">
      <alignment horizontal="center" vertical="center"/>
    </xf>
    <xf numFmtId="0" fontId="3" fillId="0" borderId="42" xfId="0" applyFont="1" applyBorder="1"/>
    <xf numFmtId="0" fontId="4" fillId="0" borderId="35" xfId="0" applyFont="1" applyBorder="1" applyAlignment="1">
      <alignment horizontal="center"/>
    </xf>
    <xf numFmtId="0" fontId="3" fillId="0" borderId="36" xfId="0" applyFont="1" applyBorder="1"/>
    <xf numFmtId="0" fontId="3" fillId="0" borderId="37" xfId="0" applyFont="1" applyBorder="1"/>
    <xf numFmtId="0" fontId="4" fillId="0" borderId="80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0" fontId="4" fillId="3" borderId="38" xfId="0" applyFont="1" applyFill="1" applyBorder="1" applyAlignment="1">
      <alignment horizontal="center"/>
    </xf>
    <xf numFmtId="0" fontId="3" fillId="0" borderId="40" xfId="0" applyFont="1" applyBorder="1"/>
    <xf numFmtId="0" fontId="4" fillId="3" borderId="53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 vertical="center"/>
    </xf>
    <xf numFmtId="0" fontId="14" fillId="0" borderId="53" xfId="0" applyFont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3" borderId="25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3" fillId="0" borderId="39" xfId="0" applyFont="1" applyBorder="1"/>
    <xf numFmtId="0" fontId="4" fillId="5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001"/>
  <sheetViews>
    <sheetView tabSelected="1" workbookViewId="0">
      <selection activeCell="F39" sqref="F39"/>
    </sheetView>
  </sheetViews>
  <sheetFormatPr defaultColWidth="12.625" defaultRowHeight="15" customHeight="1"/>
  <cols>
    <col min="1" max="1" width="21.125" customWidth="1"/>
    <col min="2" max="2" width="35.25" customWidth="1"/>
    <col min="3" max="3" width="13" customWidth="1"/>
    <col min="4" max="4" width="26.375" customWidth="1"/>
    <col min="5" max="5" width="7.625" customWidth="1"/>
    <col min="6" max="6" width="14" customWidth="1"/>
    <col min="7" max="7" width="15.125" customWidth="1"/>
    <col min="8" max="26" width="7.625" customWidth="1"/>
  </cols>
  <sheetData>
    <row r="2" spans="1:4" ht="14.25">
      <c r="A2" s="160" t="s">
        <v>0</v>
      </c>
      <c r="B2" s="161"/>
      <c r="C2" s="161"/>
      <c r="D2" s="162"/>
    </row>
    <row r="3" spans="1:4" ht="14.25">
      <c r="A3" s="163"/>
      <c r="B3" s="164"/>
      <c r="C3" s="164"/>
      <c r="D3" s="165"/>
    </row>
    <row r="4" spans="1:4">
      <c r="A4" s="1" t="s">
        <v>1</v>
      </c>
      <c r="B4" s="2" t="s">
        <v>3</v>
      </c>
      <c r="C4" s="2" t="s">
        <v>4</v>
      </c>
      <c r="D4" s="3" t="s">
        <v>5</v>
      </c>
    </row>
    <row r="5" spans="1:4" ht="30">
      <c r="A5" s="4" t="s">
        <v>6</v>
      </c>
      <c r="B5" s="15" t="s">
        <v>24</v>
      </c>
      <c r="C5" s="15" t="s">
        <v>26</v>
      </c>
      <c r="D5" s="21">
        <v>300</v>
      </c>
    </row>
    <row r="6" spans="1:4" ht="30">
      <c r="A6" s="4" t="s">
        <v>32</v>
      </c>
      <c r="B6" s="15" t="s">
        <v>34</v>
      </c>
      <c r="C6" s="15" t="s">
        <v>35</v>
      </c>
      <c r="D6" s="21">
        <v>25</v>
      </c>
    </row>
    <row r="7" spans="1:4" ht="33">
      <c r="A7" s="4" t="s">
        <v>36</v>
      </c>
      <c r="B7" s="15" t="s">
        <v>37</v>
      </c>
      <c r="C7" s="15" t="s">
        <v>38</v>
      </c>
      <c r="D7" s="23">
        <v>12</v>
      </c>
    </row>
    <row r="8" spans="1:4" ht="33">
      <c r="A8" s="4" t="s">
        <v>39</v>
      </c>
      <c r="B8" s="15" t="s">
        <v>40</v>
      </c>
      <c r="C8" s="15" t="s">
        <v>38</v>
      </c>
      <c r="D8" s="24">
        <v>17</v>
      </c>
    </row>
    <row r="9" spans="1:4" ht="30">
      <c r="A9" s="4" t="s">
        <v>41</v>
      </c>
      <c r="B9" s="15" t="s">
        <v>42</v>
      </c>
      <c r="C9" s="15" t="s">
        <v>38</v>
      </c>
      <c r="D9" s="21">
        <v>50</v>
      </c>
    </row>
    <row r="10" spans="1:4" ht="30">
      <c r="A10" s="4" t="s">
        <v>43</v>
      </c>
      <c r="B10" s="15" t="s">
        <v>44</v>
      </c>
      <c r="C10" s="15" t="s">
        <v>38</v>
      </c>
      <c r="D10" s="21">
        <v>100</v>
      </c>
    </row>
    <row r="11" spans="1:4">
      <c r="A11" s="26" t="s">
        <v>46</v>
      </c>
      <c r="B11" s="28" t="s">
        <v>47</v>
      </c>
      <c r="C11" s="25" t="s">
        <v>48</v>
      </c>
      <c r="D11" s="29" t="s">
        <v>29</v>
      </c>
    </row>
    <row r="12" spans="1:4">
      <c r="A12" s="30"/>
      <c r="B12" s="12"/>
      <c r="C12" s="12"/>
      <c r="D12" s="32"/>
    </row>
    <row r="13" spans="1:4">
      <c r="A13" s="33" t="s">
        <v>56</v>
      </c>
      <c r="B13" s="34"/>
      <c r="C13" s="34"/>
      <c r="D13" s="35"/>
    </row>
    <row r="15" spans="1:4" ht="30">
      <c r="A15" s="38" t="s">
        <v>61</v>
      </c>
      <c r="B15" s="40" t="s">
        <v>68</v>
      </c>
    </row>
    <row r="18" spans="1:7">
      <c r="A18" s="160" t="s">
        <v>70</v>
      </c>
      <c r="B18" s="161"/>
      <c r="C18" s="161"/>
      <c r="D18" s="162"/>
      <c r="F18" s="169" t="s">
        <v>71</v>
      </c>
      <c r="G18" s="170"/>
    </row>
    <row r="19" spans="1:7" ht="30">
      <c r="A19" s="166"/>
      <c r="B19" s="167"/>
      <c r="C19" s="167"/>
      <c r="D19" s="168"/>
      <c r="F19" s="43" t="s">
        <v>73</v>
      </c>
      <c r="G19" s="43" t="s">
        <v>74</v>
      </c>
    </row>
    <row r="20" spans="1:7">
      <c r="A20" s="154" t="s">
        <v>75</v>
      </c>
      <c r="B20" s="155"/>
      <c r="C20" s="155"/>
      <c r="D20" s="156"/>
      <c r="F20" s="50">
        <v>15</v>
      </c>
      <c r="G20" s="50">
        <v>200000</v>
      </c>
    </row>
    <row r="21" spans="1:7" ht="15.75" customHeight="1">
      <c r="A21" s="51" t="s">
        <v>97</v>
      </c>
      <c r="B21" s="52" t="s">
        <v>3</v>
      </c>
      <c r="C21" s="53" t="s">
        <v>4</v>
      </c>
      <c r="D21" s="54" t="s">
        <v>5</v>
      </c>
    </row>
    <row r="22" spans="1:7" ht="103.5" customHeight="1">
      <c r="A22" s="5" t="s">
        <v>102</v>
      </c>
      <c r="B22" s="55" t="s">
        <v>103</v>
      </c>
      <c r="C22" s="56" t="s">
        <v>105</v>
      </c>
      <c r="D22" s="58">
        <v>200</v>
      </c>
    </row>
    <row r="23" spans="1:7" ht="103.5" customHeight="1">
      <c r="A23" s="9" t="s">
        <v>107</v>
      </c>
      <c r="B23" s="15" t="s">
        <v>108</v>
      </c>
      <c r="C23" s="15" t="s">
        <v>109</v>
      </c>
      <c r="D23" s="21">
        <v>50000</v>
      </c>
    </row>
    <row r="24" spans="1:7" ht="51.75" customHeight="1">
      <c r="A24" s="9" t="s">
        <v>110</v>
      </c>
      <c r="B24" s="15" t="s">
        <v>111</v>
      </c>
      <c r="C24" s="15" t="s">
        <v>48</v>
      </c>
      <c r="D24" s="24" t="s">
        <v>112</v>
      </c>
    </row>
    <row r="25" spans="1:7" ht="36" customHeight="1">
      <c r="A25" s="9" t="s">
        <v>113</v>
      </c>
      <c r="B25" s="15" t="s">
        <v>114</v>
      </c>
      <c r="C25" s="60" t="s">
        <v>115</v>
      </c>
      <c r="D25" s="24">
        <v>250000</v>
      </c>
    </row>
    <row r="26" spans="1:7" ht="48" customHeight="1">
      <c r="A26" s="9" t="s">
        <v>118</v>
      </c>
      <c r="B26" s="15" t="s">
        <v>119</v>
      </c>
      <c r="C26" s="60" t="s">
        <v>115</v>
      </c>
      <c r="D26" s="24">
        <v>200000</v>
      </c>
    </row>
    <row r="27" spans="1:7" ht="45.75" customHeight="1">
      <c r="A27" s="61" t="s">
        <v>120</v>
      </c>
      <c r="B27" s="28" t="s">
        <v>121</v>
      </c>
      <c r="C27" s="28" t="s">
        <v>123</v>
      </c>
      <c r="D27" s="62">
        <v>20</v>
      </c>
    </row>
    <row r="28" spans="1:7" ht="15.75" customHeight="1"/>
    <row r="29" spans="1:7" ht="55.5" customHeight="1">
      <c r="A29" s="8" t="s">
        <v>124</v>
      </c>
      <c r="B29" s="145" t="s">
        <v>125</v>
      </c>
      <c r="C29" s="146"/>
      <c r="D29" s="147"/>
    </row>
    <row r="30" spans="1:7" ht="15.75" customHeight="1"/>
    <row r="31" spans="1:7" ht="15.75" customHeight="1">
      <c r="A31" s="63" t="s">
        <v>127</v>
      </c>
    </row>
    <row r="32" spans="1:7" ht="15.75" customHeight="1">
      <c r="A32" s="63"/>
    </row>
    <row r="33" spans="1:4" ht="51.75" customHeight="1">
      <c r="A33" s="8" t="s">
        <v>128</v>
      </c>
      <c r="B33" s="157" t="s">
        <v>129</v>
      </c>
      <c r="C33" s="146"/>
      <c r="D33" s="147"/>
    </row>
    <row r="34" spans="1:4" ht="15.75" customHeight="1">
      <c r="A34" s="63"/>
    </row>
    <row r="35" spans="1:4" ht="15.75" customHeight="1">
      <c r="A35" s="64" t="s">
        <v>132</v>
      </c>
    </row>
    <row r="36" spans="1:4" ht="15.75" customHeight="1"/>
    <row r="37" spans="1:4" ht="51" customHeight="1">
      <c r="A37" s="65" t="s">
        <v>134</v>
      </c>
      <c r="B37" s="66" t="s">
        <v>135</v>
      </c>
      <c r="C37" s="68" t="s">
        <v>136</v>
      </c>
    </row>
    <row r="38" spans="1:4" ht="15.75" customHeight="1">
      <c r="A38" s="69">
        <v>1</v>
      </c>
      <c r="B38" s="16">
        <v>0.3</v>
      </c>
      <c r="C38" s="44">
        <v>60</v>
      </c>
    </row>
    <row r="39" spans="1:4" ht="15.75" customHeight="1">
      <c r="A39" s="70">
        <v>2</v>
      </c>
      <c r="B39" s="19">
        <v>0.3</v>
      </c>
      <c r="C39" s="20">
        <v>65</v>
      </c>
    </row>
    <row r="40" spans="1:4" ht="15.75" customHeight="1">
      <c r="A40" s="70">
        <v>3</v>
      </c>
      <c r="B40" s="19">
        <v>0.3</v>
      </c>
      <c r="C40" s="20">
        <v>54</v>
      </c>
    </row>
    <row r="41" spans="1:4" ht="15.75" customHeight="1">
      <c r="A41" s="70">
        <v>4</v>
      </c>
      <c r="B41" s="19">
        <v>0.3</v>
      </c>
      <c r="C41" s="20">
        <v>60</v>
      </c>
    </row>
    <row r="42" spans="1:4" ht="15.75" customHeight="1">
      <c r="A42" s="70">
        <v>5</v>
      </c>
      <c r="B42" s="19">
        <v>0.3</v>
      </c>
      <c r="C42" s="20">
        <v>65</v>
      </c>
    </row>
    <row r="43" spans="1:4" ht="15.75" customHeight="1">
      <c r="A43" s="70">
        <v>6</v>
      </c>
      <c r="B43" s="19">
        <v>0.3</v>
      </c>
      <c r="C43" s="20">
        <v>70</v>
      </c>
    </row>
    <row r="44" spans="1:4" ht="15.75" customHeight="1">
      <c r="A44" s="70">
        <v>7</v>
      </c>
      <c r="B44" s="19">
        <v>0.3</v>
      </c>
      <c r="C44" s="20">
        <v>75</v>
      </c>
    </row>
    <row r="45" spans="1:4" ht="15.75" customHeight="1">
      <c r="A45" s="70">
        <v>8</v>
      </c>
      <c r="B45" s="19">
        <v>0.3</v>
      </c>
      <c r="C45" s="20">
        <v>80</v>
      </c>
    </row>
    <row r="46" spans="1:4" ht="15.75" customHeight="1">
      <c r="A46" s="70">
        <v>9</v>
      </c>
      <c r="B46" s="19">
        <v>0.3</v>
      </c>
      <c r="C46" s="20">
        <v>90</v>
      </c>
    </row>
    <row r="47" spans="1:4" ht="15.75" customHeight="1">
      <c r="A47" s="71">
        <v>10</v>
      </c>
      <c r="B47" s="25">
        <v>0.3</v>
      </c>
      <c r="C47" s="27">
        <v>50</v>
      </c>
    </row>
    <row r="48" spans="1:4" ht="15.75" customHeight="1"/>
    <row r="49" spans="1:4" ht="65.25" customHeight="1">
      <c r="A49" s="8" t="s">
        <v>140</v>
      </c>
      <c r="B49" s="72">
        <v>70</v>
      </c>
    </row>
    <row r="50" spans="1:4" ht="15.75" customHeight="1">
      <c r="A50" s="38" t="s">
        <v>141</v>
      </c>
      <c r="B50" s="72">
        <v>35</v>
      </c>
    </row>
    <row r="51" spans="1:4" ht="15.75" customHeight="1"/>
    <row r="52" spans="1:4" ht="15.75" customHeight="1">
      <c r="A52" s="64" t="s">
        <v>142</v>
      </c>
    </row>
    <row r="53" spans="1:4" ht="15.75" customHeight="1"/>
    <row r="54" spans="1:4" ht="29.25" customHeight="1">
      <c r="A54" s="8" t="s">
        <v>143</v>
      </c>
      <c r="B54" s="145" t="s">
        <v>144</v>
      </c>
      <c r="C54" s="146"/>
      <c r="D54" s="147"/>
    </row>
    <row r="55" spans="1:4" ht="15.75" customHeight="1">
      <c r="A55" s="38"/>
    </row>
    <row r="56" spans="1:4" ht="15.75" customHeight="1">
      <c r="A56" s="63" t="s">
        <v>146</v>
      </c>
    </row>
    <row r="57" spans="1:4" ht="15.75" customHeight="1">
      <c r="A57" s="73" t="s">
        <v>147</v>
      </c>
    </row>
    <row r="58" spans="1:4" ht="29.25" customHeight="1">
      <c r="A58" s="158" t="s">
        <v>148</v>
      </c>
      <c r="B58" s="159"/>
      <c r="C58" s="74">
        <v>6</v>
      </c>
      <c r="D58" s="38"/>
    </row>
    <row r="59" spans="1:4" ht="15.75" customHeight="1"/>
    <row r="60" spans="1:4" ht="15.75" customHeight="1">
      <c r="A60" s="75" t="s">
        <v>150</v>
      </c>
      <c r="B60" s="76" t="s">
        <v>97</v>
      </c>
      <c r="C60" s="77" t="s">
        <v>153</v>
      </c>
    </row>
    <row r="61" spans="1:4" ht="54" customHeight="1">
      <c r="A61" s="70">
        <v>1</v>
      </c>
      <c r="B61" s="10" t="s">
        <v>155</v>
      </c>
      <c r="C61" s="21">
        <v>0.2</v>
      </c>
    </row>
    <row r="62" spans="1:4" ht="79.5" customHeight="1">
      <c r="A62" s="70">
        <v>2</v>
      </c>
      <c r="B62" s="10" t="s">
        <v>156</v>
      </c>
      <c r="C62" s="21">
        <v>0.2</v>
      </c>
    </row>
    <row r="63" spans="1:4" ht="76.5" customHeight="1">
      <c r="A63" s="70">
        <v>3</v>
      </c>
      <c r="B63" s="10" t="s">
        <v>157</v>
      </c>
      <c r="C63" s="21">
        <v>0.4</v>
      </c>
    </row>
    <row r="64" spans="1:4" ht="98.25" customHeight="1">
      <c r="A64" s="70">
        <v>4</v>
      </c>
      <c r="B64" s="10" t="s">
        <v>158</v>
      </c>
      <c r="C64" s="21">
        <v>1</v>
      </c>
    </row>
    <row r="65" spans="1:4" ht="84.75" customHeight="1">
      <c r="A65" s="70">
        <v>5</v>
      </c>
      <c r="B65" s="10" t="s">
        <v>160</v>
      </c>
      <c r="C65" s="21">
        <v>1.2</v>
      </c>
    </row>
    <row r="66" spans="1:4" ht="57" customHeight="1">
      <c r="A66" s="70">
        <v>6</v>
      </c>
      <c r="B66" s="10" t="s">
        <v>161</v>
      </c>
      <c r="C66" s="21">
        <v>1.2</v>
      </c>
    </row>
    <row r="67" spans="1:4" ht="51" customHeight="1">
      <c r="A67" s="71">
        <v>7</v>
      </c>
      <c r="B67" s="78" t="s">
        <v>162</v>
      </c>
      <c r="C67" s="41">
        <v>1.6</v>
      </c>
    </row>
    <row r="68" spans="1:4" ht="15.75" customHeight="1"/>
    <row r="69" spans="1:4" ht="15.75" customHeight="1">
      <c r="A69" s="63" t="s">
        <v>165</v>
      </c>
    </row>
    <row r="70" spans="1:4" ht="15.75" customHeight="1">
      <c r="A70" s="63"/>
    </row>
    <row r="71" spans="1:4" ht="15.75" customHeight="1">
      <c r="A71" s="8" t="s">
        <v>166</v>
      </c>
      <c r="B71" s="145" t="s">
        <v>167</v>
      </c>
      <c r="C71" s="146"/>
      <c r="D71" s="147"/>
    </row>
    <row r="72" spans="1:4" ht="15.75" customHeight="1">
      <c r="A72" s="63"/>
    </row>
    <row r="73" spans="1:4" ht="15.75" customHeight="1">
      <c r="A73" s="64" t="s">
        <v>168</v>
      </c>
    </row>
    <row r="74" spans="1:4" ht="15.75" customHeight="1"/>
    <row r="75" spans="1:4" ht="15.75" customHeight="1">
      <c r="A75" s="148" t="s">
        <v>75</v>
      </c>
      <c r="B75" s="149"/>
      <c r="C75" s="149"/>
      <c r="D75" s="150"/>
    </row>
    <row r="76" spans="1:4" ht="15.75" customHeight="1">
      <c r="A76" s="80" t="s">
        <v>97</v>
      </c>
      <c r="B76" s="81" t="s">
        <v>3</v>
      </c>
      <c r="C76" s="81" t="s">
        <v>4</v>
      </c>
      <c r="D76" s="82" t="s">
        <v>5</v>
      </c>
    </row>
    <row r="77" spans="1:4" ht="15.75" customHeight="1">
      <c r="A77" s="83" t="s">
        <v>174</v>
      </c>
      <c r="B77" s="84" t="s">
        <v>175</v>
      </c>
      <c r="C77" s="60" t="s">
        <v>177</v>
      </c>
      <c r="D77" s="85">
        <v>2</v>
      </c>
    </row>
    <row r="78" spans="1:4" ht="15.75" customHeight="1">
      <c r="A78" s="86" t="s">
        <v>178</v>
      </c>
      <c r="B78" s="15" t="s">
        <v>179</v>
      </c>
      <c r="C78" s="60" t="s">
        <v>177</v>
      </c>
      <c r="D78" s="87">
        <v>5</v>
      </c>
    </row>
    <row r="79" spans="1:4" ht="15.75" customHeight="1">
      <c r="A79" s="88" t="s">
        <v>181</v>
      </c>
      <c r="B79" s="151" t="s">
        <v>183</v>
      </c>
      <c r="C79" s="152"/>
      <c r="D79" s="153"/>
    </row>
    <row r="80" spans="1:4" ht="51" customHeight="1">
      <c r="A80" s="91" t="s">
        <v>184</v>
      </c>
      <c r="B80" s="92" t="s">
        <v>186</v>
      </c>
      <c r="C80" s="92" t="s">
        <v>109</v>
      </c>
      <c r="D80" s="94">
        <v>25000</v>
      </c>
    </row>
    <row r="81" spans="1:4" ht="15.75" customHeight="1"/>
    <row r="82" spans="1:4" ht="15.75" customHeight="1"/>
    <row r="83" spans="1:4" ht="15.75" customHeight="1">
      <c r="A83" s="64" t="s">
        <v>188</v>
      </c>
    </row>
    <row r="84" spans="1:4" ht="15.75" customHeight="1"/>
    <row r="85" spans="1:4" ht="15.75" customHeight="1">
      <c r="A85" s="154" t="s">
        <v>75</v>
      </c>
      <c r="B85" s="155"/>
      <c r="C85" s="155"/>
      <c r="D85" s="156"/>
    </row>
    <row r="86" spans="1:4" ht="15.75" customHeight="1">
      <c r="A86" s="96" t="s">
        <v>97</v>
      </c>
      <c r="B86" s="97" t="s">
        <v>3</v>
      </c>
      <c r="C86" s="97" t="s">
        <v>4</v>
      </c>
      <c r="D86" s="98" t="s">
        <v>5</v>
      </c>
    </row>
    <row r="87" spans="1:4" ht="15.75" customHeight="1">
      <c r="A87" s="100" t="s">
        <v>189</v>
      </c>
      <c r="B87" s="55" t="s">
        <v>190</v>
      </c>
      <c r="C87" s="55" t="s">
        <v>109</v>
      </c>
      <c r="D87" s="49"/>
    </row>
    <row r="88" spans="1:4" ht="15.75" customHeight="1">
      <c r="A88" s="4" t="s">
        <v>192</v>
      </c>
      <c r="B88" s="15" t="s">
        <v>194</v>
      </c>
      <c r="C88" s="15" t="s">
        <v>109</v>
      </c>
      <c r="D88" s="20"/>
    </row>
    <row r="89" spans="1:4" ht="15.75" customHeight="1">
      <c r="A89" s="4" t="s">
        <v>196</v>
      </c>
      <c r="B89" s="15" t="s">
        <v>197</v>
      </c>
      <c r="C89" s="15" t="s">
        <v>38</v>
      </c>
      <c r="D89" s="21"/>
    </row>
    <row r="90" spans="1:4" ht="15.75" customHeight="1">
      <c r="A90" s="26" t="s">
        <v>198</v>
      </c>
      <c r="B90" s="28" t="s">
        <v>199</v>
      </c>
      <c r="C90" s="28" t="s">
        <v>109</v>
      </c>
      <c r="D90" s="104"/>
    </row>
    <row r="91" spans="1:4" ht="15.75" customHeight="1"/>
    <row r="92" spans="1:4" ht="15.75" customHeight="1"/>
    <row r="93" spans="1:4" ht="15.75" customHeight="1"/>
    <row r="94" spans="1:4" ht="15.75" customHeight="1"/>
    <row r="95" spans="1:4" ht="15.75" customHeight="1"/>
    <row r="96" spans="1:4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2">
    <mergeCell ref="A2:D3"/>
    <mergeCell ref="A18:D19"/>
    <mergeCell ref="F18:G18"/>
    <mergeCell ref="A20:D20"/>
    <mergeCell ref="B29:D29"/>
    <mergeCell ref="B71:D71"/>
    <mergeCell ref="A75:D75"/>
    <mergeCell ref="B79:D79"/>
    <mergeCell ref="A85:D85"/>
    <mergeCell ref="B33:D33"/>
    <mergeCell ref="A58:B58"/>
    <mergeCell ref="B54:D54"/>
  </mergeCells>
  <dataValidations count="10">
    <dataValidation type="list" allowBlank="1" showErrorMessage="1" sqref="B33" xr:uid="{00000000-0002-0000-0000-000000000000}">
      <formula1>"Μέθοδος απωλειών κελύφους λέβητα (Αναλυτική Μέθοδος),Εμπειρική μέθοδος"</formula1>
    </dataValidation>
    <dataValidation type="list" allowBlank="1" sqref="B79" xr:uid="{00000000-0002-0000-0000-000001000000}">
      <formula1>"Λέβητας μίας βαθμίδας,Λέβητας πολλαπλών βαθμίδων"</formula1>
    </dataValidation>
    <dataValidation type="list" allowBlank="1" showErrorMessage="1" sqref="B29" xr:uid="{00000000-0002-0000-0000-000002000000}">
      <formula1>"Μεθοδολογία χρήσης καυσίμου,Μεθοδολογιία μέτρησης χρόνου λειτουργίας"</formula1>
    </dataValidation>
    <dataValidation type="list" allowBlank="1" showErrorMessage="1" sqref="B71" xr:uid="{00000000-0002-0000-0000-000003000000}">
      <formula1>"Μέθοδος συντελεστή λειτουργίας αναμονής,Μέθοδος βοηθητικού καυστήρα"</formula1>
    </dataValidation>
    <dataValidation type="list" allowBlank="1" sqref="C25:C26 C77:C78" xr:uid="{00000000-0002-0000-0000-000004000000}">
      <formula1>"s,h"</formula1>
    </dataValidation>
    <dataValidation type="list" allowBlank="1" showErrorMessage="1" sqref="B54" xr:uid="{00000000-0002-0000-0000-000005000000}">
      <formula1>"Λέβητας καλά θερμομονωμένος - καινούριος,Λέβητας καλά θερμομονωμένος - καλά συντηρημένος,Λέβητας θερμομονωμένος &gt;10 ετών,Λέβητας ατελώς θερμομονωμένος &gt;10 ετών,Λέβητας χωρίς θεμομόνωση"</formula1>
    </dataValidation>
    <dataValidation type="list" allowBlank="1" showErrorMessage="1" sqref="C58" xr:uid="{00000000-0002-0000-0000-000006000000}">
      <formula1>"1.0,2.0,3.0,4.0,5.0,6.0,7.0"</formula1>
    </dataValidation>
    <dataValidation type="list" allowBlank="1" sqref="C22" xr:uid="{00000000-0002-0000-0000-000007000000}">
      <formula1>"l,m3,kg"</formula1>
    </dataValidation>
    <dataValidation type="list" allowBlank="1" showErrorMessage="1" sqref="B15" xr:uid="{00000000-0002-0000-0000-000008000000}">
      <formula1>"Βάσει καθαρής θερμογόνου δύναμης,Βάση μεικτής θερμογόνου δύναμης"</formula1>
    </dataValidation>
    <dataValidation type="list" allowBlank="1" showErrorMessage="1" sqref="D24" xr:uid="{00000000-0002-0000-0000-000009000000}">
      <formula1>"Μεικτή θερμογόνος δύναμη,Καθαρή θερμογόνος δύναμη"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A000000}">
          <x14:formula1>
            <xm:f>Calculations!$A$7:$A$10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008"/>
  <sheetViews>
    <sheetView workbookViewId="0">
      <selection activeCell="D141" sqref="D141"/>
    </sheetView>
  </sheetViews>
  <sheetFormatPr defaultColWidth="12.625" defaultRowHeight="15" customHeight="1"/>
  <cols>
    <col min="1" max="1" width="27" customWidth="1"/>
    <col min="2" max="2" width="14.5" customWidth="1"/>
    <col min="3" max="3" width="15.875" customWidth="1"/>
    <col min="4" max="4" width="26.375" customWidth="1"/>
    <col min="5" max="5" width="14.625" customWidth="1"/>
    <col min="6" max="6" width="12" customWidth="1"/>
    <col min="7" max="7" width="11.125" customWidth="1"/>
    <col min="8" max="8" width="13" customWidth="1"/>
    <col min="9" max="9" width="18.125" customWidth="1"/>
    <col min="10" max="26" width="7.625" customWidth="1"/>
  </cols>
  <sheetData>
    <row r="2" spans="1:9" ht="23.25">
      <c r="A2" s="171" t="s">
        <v>0</v>
      </c>
      <c r="B2" s="146"/>
      <c r="C2" s="146"/>
      <c r="D2" s="147"/>
    </row>
    <row r="5" spans="1:9" ht="18">
      <c r="A5" s="172" t="s">
        <v>19</v>
      </c>
      <c r="B5" s="155"/>
      <c r="C5" s="155"/>
      <c r="D5" s="156"/>
      <c r="E5" s="12"/>
      <c r="F5" s="13" t="s">
        <v>20</v>
      </c>
      <c r="G5" s="13" t="s">
        <v>21</v>
      </c>
    </row>
    <row r="6" spans="1:9" ht="18">
      <c r="A6" s="14" t="s">
        <v>22</v>
      </c>
      <c r="B6" s="16" t="s">
        <v>25</v>
      </c>
      <c r="C6" s="16" t="s">
        <v>27</v>
      </c>
      <c r="D6" s="17" t="s">
        <v>28</v>
      </c>
      <c r="F6" s="13"/>
      <c r="G6" s="13"/>
    </row>
    <row r="7" spans="1:9">
      <c r="A7" s="18" t="s">
        <v>29</v>
      </c>
      <c r="B7" s="19">
        <v>0.66</v>
      </c>
      <c r="C7" s="19">
        <v>0.01</v>
      </c>
      <c r="D7" s="20">
        <v>11</v>
      </c>
      <c r="F7" s="13">
        <v>8.0000000000000004E-4</v>
      </c>
      <c r="G7" s="13">
        <v>0.8</v>
      </c>
    </row>
    <row r="8" spans="1:9">
      <c r="A8" s="18" t="s">
        <v>30</v>
      </c>
      <c r="B8" s="19">
        <v>0.63</v>
      </c>
      <c r="C8" s="19">
        <v>8.0000000000000002E-3</v>
      </c>
      <c r="D8" s="20">
        <v>14</v>
      </c>
      <c r="F8" s="13">
        <v>2.1800000000000001E-3</v>
      </c>
      <c r="G8" s="13">
        <v>2.1800000000000002</v>
      </c>
    </row>
    <row r="9" spans="1:9">
      <c r="A9" s="18" t="s">
        <v>31</v>
      </c>
      <c r="B9" s="19">
        <v>0.68</v>
      </c>
      <c r="C9" s="19">
        <v>7.0000000000000001E-3</v>
      </c>
      <c r="D9" s="20">
        <v>16</v>
      </c>
      <c r="F9" s="13">
        <v>0.96</v>
      </c>
      <c r="G9" s="13">
        <v>960</v>
      </c>
    </row>
    <row r="10" spans="1:9">
      <c r="A10" s="22" t="s">
        <v>33</v>
      </c>
      <c r="B10" s="25">
        <v>0.68</v>
      </c>
      <c r="C10" s="25">
        <v>7.0000000000000001E-3</v>
      </c>
      <c r="D10" s="27">
        <v>17</v>
      </c>
      <c r="F10" s="13">
        <v>1</v>
      </c>
      <c r="G10" s="13">
        <v>1000</v>
      </c>
    </row>
    <row r="12" spans="1:9">
      <c r="A12" s="172" t="s">
        <v>49</v>
      </c>
      <c r="B12" s="155"/>
      <c r="C12" s="155"/>
      <c r="D12" s="155"/>
      <c r="E12" s="155"/>
      <c r="F12" s="155"/>
      <c r="G12" s="155"/>
      <c r="H12" s="155"/>
      <c r="I12" s="156"/>
    </row>
    <row r="13" spans="1:9" ht="1.5" customHeight="1">
      <c r="A13" s="173" t="s">
        <v>50</v>
      </c>
      <c r="B13" s="175" t="s">
        <v>52</v>
      </c>
      <c r="C13" s="175" t="s">
        <v>53</v>
      </c>
      <c r="D13" s="177" t="s">
        <v>54</v>
      </c>
      <c r="E13" s="178"/>
      <c r="F13" s="178"/>
      <c r="G13" s="178"/>
      <c r="H13" s="178"/>
      <c r="I13" s="179"/>
    </row>
    <row r="14" spans="1:9" ht="51" customHeight="1">
      <c r="A14" s="174"/>
      <c r="B14" s="176"/>
      <c r="C14" s="176"/>
      <c r="D14" s="28" t="s">
        <v>63</v>
      </c>
      <c r="E14" s="28" t="s">
        <v>64</v>
      </c>
      <c r="F14" s="28" t="s">
        <v>65</v>
      </c>
      <c r="G14" s="28" t="s">
        <v>66</v>
      </c>
      <c r="H14" s="39" t="s">
        <v>67</v>
      </c>
      <c r="I14" s="41" t="s">
        <v>69</v>
      </c>
    </row>
    <row r="15" spans="1:9">
      <c r="A15" s="14" t="s">
        <v>72</v>
      </c>
      <c r="B15" s="16"/>
      <c r="C15" s="16"/>
      <c r="D15" s="16"/>
      <c r="E15" s="16"/>
      <c r="F15" s="16"/>
      <c r="G15" s="16"/>
      <c r="H15" s="42"/>
      <c r="I15" s="44"/>
    </row>
    <row r="16" spans="1:9" ht="18.75">
      <c r="A16" s="18" t="s">
        <v>76</v>
      </c>
      <c r="B16" s="19" t="s">
        <v>77</v>
      </c>
      <c r="C16" s="19" t="s">
        <v>78</v>
      </c>
      <c r="D16" s="19">
        <f>39.851*10^6</f>
        <v>39851000</v>
      </c>
      <c r="E16" s="19">
        <f>35.169*10^6</f>
        <v>35169000</v>
      </c>
      <c r="F16" s="19">
        <f>101.804*10^6</f>
        <v>101804000</v>
      </c>
      <c r="G16" s="19">
        <f>131.985*10^6</f>
        <v>131985000.00000001</v>
      </c>
      <c r="H16" s="45">
        <f t="shared" ref="H16:H20" si="0">(0.4*F16) + (0.6*G16)</f>
        <v>119912600</v>
      </c>
      <c r="I16" s="20">
        <f>45.336*10^6</f>
        <v>45336000</v>
      </c>
    </row>
    <row r="17" spans="1:9" ht="18.75">
      <c r="A17" s="18" t="s">
        <v>79</v>
      </c>
      <c r="B17" s="19" t="s">
        <v>80</v>
      </c>
      <c r="C17" s="19" t="s">
        <v>81</v>
      </c>
      <c r="D17" s="19">
        <f>35.79*10^6</f>
        <v>35790000</v>
      </c>
      <c r="E17" s="19">
        <f>31.652*10^6</f>
        <v>31652000</v>
      </c>
      <c r="F17" s="19">
        <f>93.557*10^6</f>
        <v>93557000</v>
      </c>
      <c r="G17" s="19">
        <f>121.603*10^6</f>
        <v>121603000</v>
      </c>
      <c r="H17" s="45">
        <f t="shared" si="0"/>
        <v>110384600</v>
      </c>
      <c r="I17" s="20">
        <f>45.27*10^6</f>
        <v>45270000</v>
      </c>
    </row>
    <row r="18" spans="1:9" ht="18.75">
      <c r="A18" s="18" t="s">
        <v>82</v>
      </c>
      <c r="B18" s="19" t="s">
        <v>83</v>
      </c>
      <c r="C18" s="19" t="s">
        <v>84</v>
      </c>
      <c r="D18" s="19">
        <v>9.52</v>
      </c>
      <c r="E18" s="19">
        <v>8.4</v>
      </c>
      <c r="F18" s="19">
        <v>23.8</v>
      </c>
      <c r="G18" s="19">
        <v>30.94</v>
      </c>
      <c r="H18" s="45">
        <f t="shared" si="0"/>
        <v>28.084000000000003</v>
      </c>
      <c r="I18" s="20">
        <v>11.23</v>
      </c>
    </row>
    <row r="19" spans="1:9" ht="18.75">
      <c r="A19" s="18" t="s">
        <v>85</v>
      </c>
      <c r="B19" s="19" t="s">
        <v>86</v>
      </c>
      <c r="C19" s="19" t="s">
        <v>87</v>
      </c>
      <c r="D19" s="19">
        <v>8.52</v>
      </c>
      <c r="E19" s="19">
        <v>7.7</v>
      </c>
      <c r="F19" s="19">
        <v>21.8</v>
      </c>
      <c r="G19" s="19">
        <v>28.44</v>
      </c>
      <c r="H19" s="45">
        <f t="shared" si="0"/>
        <v>25.783999999999999</v>
      </c>
      <c r="I19" s="20">
        <v>10.49</v>
      </c>
    </row>
    <row r="20" spans="1:9" ht="18.75">
      <c r="A20" s="22" t="s">
        <v>88</v>
      </c>
      <c r="B20" s="25" t="s">
        <v>89</v>
      </c>
      <c r="C20" s="25" t="s">
        <v>90</v>
      </c>
      <c r="D20" s="25">
        <v>1.61</v>
      </c>
      <c r="E20" s="25">
        <v>1.405</v>
      </c>
      <c r="F20" s="25">
        <v>3.3</v>
      </c>
      <c r="G20" s="25">
        <v>4.03</v>
      </c>
      <c r="H20" s="46">
        <f t="shared" si="0"/>
        <v>3.7380000000000004</v>
      </c>
      <c r="I20" s="27">
        <v>1.18</v>
      </c>
    </row>
    <row r="21" spans="1:9" ht="15.75" customHeight="1"/>
    <row r="22" spans="1:9" ht="15.75" customHeight="1">
      <c r="A22" s="172" t="s">
        <v>91</v>
      </c>
      <c r="B22" s="155"/>
      <c r="C22" s="155"/>
      <c r="D22" s="155"/>
      <c r="E22" s="156"/>
    </row>
    <row r="23" spans="1:9" ht="15.75" customHeight="1">
      <c r="A23" s="47" t="s">
        <v>1</v>
      </c>
      <c r="B23" s="48" t="s">
        <v>3</v>
      </c>
      <c r="C23" s="48" t="s">
        <v>4</v>
      </c>
      <c r="D23" s="48" t="s">
        <v>5</v>
      </c>
      <c r="E23" s="49" t="s">
        <v>92</v>
      </c>
    </row>
    <row r="24" spans="1:9" ht="15.75" customHeight="1">
      <c r="A24" s="18" t="s">
        <v>6</v>
      </c>
      <c r="B24" s="19" t="s">
        <v>93</v>
      </c>
      <c r="C24" s="19" t="s">
        <v>94</v>
      </c>
      <c r="D24" s="19">
        <f>Input!D5</f>
        <v>300</v>
      </c>
      <c r="E24" s="20" t="s">
        <v>95</v>
      </c>
    </row>
    <row r="25" spans="1:9" ht="15.75" customHeight="1">
      <c r="A25" s="18" t="s">
        <v>32</v>
      </c>
      <c r="B25" s="19" t="s">
        <v>96</v>
      </c>
      <c r="C25" s="19" t="s">
        <v>98</v>
      </c>
      <c r="D25" s="19">
        <f>Input!D6</f>
        <v>25</v>
      </c>
      <c r="E25" s="20" t="s">
        <v>99</v>
      </c>
    </row>
    <row r="26" spans="1:9" ht="15.75" customHeight="1">
      <c r="A26" s="18" t="s">
        <v>100</v>
      </c>
      <c r="B26" s="19" t="s">
        <v>101</v>
      </c>
      <c r="C26" s="19" t="s">
        <v>38</v>
      </c>
      <c r="D26" s="19">
        <f>IF(Input!D7="", 20.94*(H26-D27)/H26,(Input!D7))</f>
        <v>12</v>
      </c>
      <c r="E26" s="20" t="s">
        <v>104</v>
      </c>
      <c r="G26" s="57" t="s">
        <v>106</v>
      </c>
      <c r="H26" s="59">
        <v>25</v>
      </c>
    </row>
    <row r="27" spans="1:9" ht="15.75" customHeight="1">
      <c r="A27" s="18" t="s">
        <v>116</v>
      </c>
      <c r="B27" s="19" t="s">
        <v>117</v>
      </c>
      <c r="C27" s="19" t="s">
        <v>38</v>
      </c>
      <c r="D27" s="19">
        <f>Input!D8</f>
        <v>17</v>
      </c>
      <c r="E27" s="20" t="s">
        <v>104</v>
      </c>
    </row>
    <row r="28" spans="1:9" ht="15.75" customHeight="1">
      <c r="A28" s="18" t="s">
        <v>41</v>
      </c>
      <c r="B28" s="19" t="s">
        <v>122</v>
      </c>
      <c r="C28" s="19" t="s">
        <v>38</v>
      </c>
      <c r="D28" s="19">
        <f>Input!D9</f>
        <v>50</v>
      </c>
      <c r="E28" s="20"/>
    </row>
    <row r="29" spans="1:9" ht="15.75" customHeight="1">
      <c r="A29" s="18" t="s">
        <v>43</v>
      </c>
      <c r="B29" s="19" t="s">
        <v>126</v>
      </c>
      <c r="C29" s="19" t="s">
        <v>38</v>
      </c>
      <c r="D29" s="19">
        <f>Input!D10</f>
        <v>100</v>
      </c>
      <c r="E29" s="20"/>
    </row>
    <row r="30" spans="1:9" ht="15.75" customHeight="1">
      <c r="A30" s="22" t="s">
        <v>46</v>
      </c>
      <c r="B30" s="25" t="s">
        <v>47</v>
      </c>
      <c r="C30" s="25" t="s">
        <v>48</v>
      </c>
      <c r="D30" s="25" t="str">
        <f>Input!D11</f>
        <v>Φυσικό Αέριο</v>
      </c>
      <c r="E30" s="27" t="s">
        <v>130</v>
      </c>
    </row>
    <row r="31" spans="1:9" ht="15.75" customHeight="1"/>
    <row r="32" spans="1:9" ht="15.75" customHeight="1">
      <c r="A32" s="185" t="s">
        <v>131</v>
      </c>
      <c r="B32" s="179"/>
    </row>
    <row r="33" spans="1:3" ht="15.75" customHeight="1">
      <c r="A33" s="18" t="s">
        <v>133</v>
      </c>
      <c r="B33" s="67">
        <f>(D24-D25)*(((IF(D30="Φυσικό Αέριο",B7,IF(D30="Υγραέριο",B8,IF(D30="Πετρέλαιο θέρμανσης (ελαφρύ)",B9,IF(D30="Πετρέλαιο θέρμανσης (βαρύ)",B10)))))/(21-D26))+(IF(D30="Φυσικό Αέριο",C7,IF(D30="Υγραέριο",C8,IF(D30="Πετρέλαιο θέρμανσης (ελαφρύ)",C9,IF(D30="Πετρέλαιο θέρμανσης (βαρύ)",C10))))))</f>
        <v>22.916666666666664</v>
      </c>
    </row>
    <row r="34" spans="1:3" ht="15.75" customHeight="1">
      <c r="A34" s="18" t="s">
        <v>137</v>
      </c>
      <c r="B34" s="67">
        <f>100-((IF(D30="Φυσικό Αέριο",E17, IF(D30="Υγραέριο",H17, IF(D30="Πετρέλαιο θέρμανσης (ελαφρύ)",I17, IF(D30="Πετρέλαιο θέρμανσης (βαρύ)",I17)))) / IF(D30="Φυσικό Αέριο",E16, IF(D30="Υγραέριο",H16, IF(D30="Πετρέλαιο θέρμανσης (ελαφρύ)",I16, IF(D30="Πετρέλαιο θέρμανσης (βαρύ)",I16)))) ) * (100 - B33))</f>
        <v>30.625219179770056</v>
      </c>
    </row>
    <row r="35" spans="1:3" ht="15.75" customHeight="1">
      <c r="A35" s="18" t="s">
        <v>138</v>
      </c>
      <c r="B35" s="67">
        <f>(IF(D30="Φυσικό Αέριο",E19, IF(D30="Υγραέριο",H19, IF(D30="Πετρέλαιο θέρμανσης (ελαφρύ)",I19, IF(D30="Πετρέλαιο θέρμανσης (βαρύ)",I19)))) * ((0.2094)/(0.2094 -D26%)))</f>
        <v>18.035570469798657</v>
      </c>
    </row>
    <row r="36" spans="1:3" ht="15.75" customHeight="1">
      <c r="A36" s="18" t="s">
        <v>139</v>
      </c>
      <c r="B36" s="67">
        <f>(IF(D30="Φυσικό Αέριο",E18, IF(D30="Υγραέριο",H18, IF(D30="Πετρέλαιο θέρμανσης (ελαφρύ)",I18, IF(D30="Πετρέλαιο θέρμανσης (βαρύ)",I18))))) + B35 - (IF(D30="Φυσικό Αέριο",E19, IF(D30="Υγραέριο",H19, IF(D30="Πετρέλαιο θέρμανσης (ελαφρύ)",I19, IF(D30="Πετρέλαιο θέρμανσης (βαρύ)",I19)))))</f>
        <v>18.735570469798656</v>
      </c>
    </row>
    <row r="37" spans="1:3" ht="15.75" customHeight="1">
      <c r="A37" s="18" t="s">
        <v>145</v>
      </c>
      <c r="B37" s="67">
        <f>5.3825*10^(-3) * EXP(0.060574*D25)</f>
        <v>2.4471347668569669E-2</v>
      </c>
    </row>
    <row r="38" spans="1:3" ht="15.75" customHeight="1">
      <c r="A38" s="18" t="s">
        <v>149</v>
      </c>
      <c r="B38" s="67">
        <f>5.3825*10^(-3) * EXP(0.060574*D24)</f>
        <v>419826.86172272346</v>
      </c>
    </row>
    <row r="39" spans="1:3" ht="15.75" customHeight="1">
      <c r="A39" s="18" t="s">
        <v>151</v>
      </c>
      <c r="B39" s="67">
        <f>B37*B36*D28/100</f>
        <v>0.22924232936771502</v>
      </c>
    </row>
    <row r="40" spans="1:3" ht="15.75" customHeight="1">
      <c r="A40" s="18" t="s">
        <v>152</v>
      </c>
      <c r="B40" s="67">
        <f>B38*B35*D29/100</f>
        <v>7571816.9497145955</v>
      </c>
    </row>
    <row r="41" spans="1:3" ht="15.75" customHeight="1">
      <c r="A41" s="18" t="s">
        <v>154</v>
      </c>
      <c r="B41" s="67">
        <f>(IF(D30="Φυσικό Αέριο",E20, IF(D30="Υγραέριο",H20, IF(D30="Πετρέλαιο θέρμανσης (ελαφρύ)",I20, IF(D30="Πετρέλαιο θέρμανσης (βαρύ)",I20))))) +B39 -B40</f>
        <v>-7571815.3154722657</v>
      </c>
    </row>
    <row r="42" spans="1:3" ht="15.75" customHeight="1">
      <c r="A42" s="18" t="s">
        <v>159</v>
      </c>
      <c r="B42" s="67">
        <f>IF(B41&lt;0,0,IF(B41&gt;0,B41))</f>
        <v>0</v>
      </c>
    </row>
    <row r="43" spans="1:3" ht="15.75" customHeight="1">
      <c r="A43" s="18" t="s">
        <v>163</v>
      </c>
      <c r="B43" s="67">
        <f>2500600-(D24*2435)</f>
        <v>1770100</v>
      </c>
      <c r="C43" s="79" t="s">
        <v>164</v>
      </c>
    </row>
    <row r="44" spans="1:3" ht="15.75" customHeight="1">
      <c r="A44" s="18"/>
      <c r="B44" s="67">
        <f>694.61-(D24*0.6764)</f>
        <v>491.69000000000005</v>
      </c>
      <c r="C44" s="79" t="s">
        <v>169</v>
      </c>
    </row>
    <row r="45" spans="1:3" ht="15.75" customHeight="1">
      <c r="A45" s="18" t="s">
        <v>170</v>
      </c>
      <c r="B45" s="67">
        <f>B43*B42</f>
        <v>0</v>
      </c>
      <c r="C45" s="79" t="s">
        <v>171</v>
      </c>
    </row>
    <row r="46" spans="1:3" ht="15.75" customHeight="1">
      <c r="A46" s="18"/>
      <c r="B46" s="67">
        <f>B44*B42</f>
        <v>0</v>
      </c>
      <c r="C46" s="79" t="s">
        <v>172</v>
      </c>
    </row>
    <row r="47" spans="1:3" ht="15.75" customHeight="1">
      <c r="A47" s="18" t="s">
        <v>173</v>
      </c>
      <c r="B47" s="67">
        <f>100*(B45/IF(D30="Φυσικό Αέριο",E17,IF(D30="Υγραέριο",H17,IF(D30="Πετρέλαιο θέρμανσης (ελαφρύ)",I17, IF(D30="Πετρέλαιο θέρμανσης (βαρύ)",I17)))))</f>
        <v>0</v>
      </c>
    </row>
    <row r="48" spans="1:3" ht="15.75" customHeight="1">
      <c r="A48" s="18" t="s">
        <v>176</v>
      </c>
      <c r="B48" s="67">
        <f>100*(B45/IF(D30="Φυσικό Αέριο",E16,IF(D30="Υγραέριο",H16,IF(D30="Πετρέλαιο θέρμανσης (ελαφρύ)",I16, IF(D30="Πετρέλαιο θέρμανσης (βαρύ)",I16)))))</f>
        <v>0</v>
      </c>
    </row>
    <row r="49" spans="1:12" ht="15.75" customHeight="1">
      <c r="A49" s="18" t="s">
        <v>180</v>
      </c>
      <c r="B49" s="67">
        <f>IF(Input!B15="Βάσει καθαρής θερμογόνου δύναμης",B47,B48)</f>
        <v>0</v>
      </c>
    </row>
    <row r="50" spans="1:12" ht="15.75" customHeight="1">
      <c r="A50" s="18"/>
      <c r="B50" s="67"/>
    </row>
    <row r="51" spans="1:12" ht="15.75" customHeight="1">
      <c r="A51" s="89" t="s">
        <v>182</v>
      </c>
      <c r="B51" s="90">
        <f t="shared" ref="B51:B52" si="1">100-B33+B47</f>
        <v>77.083333333333343</v>
      </c>
    </row>
    <row r="52" spans="1:12" ht="15.75" customHeight="1">
      <c r="A52" s="89" t="s">
        <v>185</v>
      </c>
      <c r="B52" s="90">
        <f t="shared" si="1"/>
        <v>69.374780820229944</v>
      </c>
    </row>
    <row r="53" spans="1:12" ht="15.75" customHeight="1">
      <c r="A53" s="93" t="s">
        <v>187</v>
      </c>
      <c r="B53" s="95">
        <f>IF(Input!B15="Βάσει καθαρής θερμογόνου δύναμης",Calculations!B51,Calculations!B52)</f>
        <v>77.083333333333343</v>
      </c>
    </row>
    <row r="54" spans="1:12" ht="15.75" customHeight="1">
      <c r="A54" s="189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7"/>
    </row>
    <row r="55" spans="1:12" ht="15.75" customHeight="1"/>
    <row r="56" spans="1:12" ht="15.75" customHeight="1">
      <c r="A56" s="171" t="s">
        <v>70</v>
      </c>
      <c r="B56" s="146"/>
      <c r="C56" s="146"/>
      <c r="D56" s="147"/>
    </row>
    <row r="57" spans="1:12" ht="15.75" customHeight="1"/>
    <row r="58" spans="1:12" ht="15.75" customHeight="1">
      <c r="A58" s="154" t="s">
        <v>75</v>
      </c>
      <c r="B58" s="155"/>
      <c r="C58" s="155"/>
      <c r="D58" s="155"/>
      <c r="E58" s="156"/>
    </row>
    <row r="59" spans="1:12" ht="15.75" customHeight="1">
      <c r="A59" s="51" t="s">
        <v>97</v>
      </c>
      <c r="B59" s="99" t="s">
        <v>3</v>
      </c>
      <c r="C59" s="53" t="s">
        <v>4</v>
      </c>
      <c r="D59" s="101" t="s">
        <v>5</v>
      </c>
      <c r="E59" s="102" t="s">
        <v>92</v>
      </c>
    </row>
    <row r="60" spans="1:12" ht="15.75" customHeight="1">
      <c r="A60" s="100" t="s">
        <v>191</v>
      </c>
      <c r="B60" s="55" t="s">
        <v>193</v>
      </c>
      <c r="C60" s="55" t="s">
        <v>38</v>
      </c>
      <c r="D60" s="55"/>
      <c r="E60" s="103" t="s">
        <v>195</v>
      </c>
    </row>
    <row r="61" spans="1:12" ht="54.75" customHeight="1">
      <c r="A61" s="9" t="s">
        <v>102</v>
      </c>
      <c r="B61" s="15" t="s">
        <v>200</v>
      </c>
      <c r="C61" s="15" t="str">
        <f>Input!C22</f>
        <v>kg</v>
      </c>
      <c r="D61" s="15">
        <f>Input!D22</f>
        <v>200</v>
      </c>
      <c r="E61" s="21" t="s">
        <v>201</v>
      </c>
    </row>
    <row r="62" spans="1:12" ht="15.75" customHeight="1">
      <c r="A62" s="9" t="s">
        <v>107</v>
      </c>
      <c r="B62" s="15" t="s">
        <v>202</v>
      </c>
      <c r="C62" s="15" t="s">
        <v>109</v>
      </c>
      <c r="D62" s="15">
        <f>Input!D23</f>
        <v>50000</v>
      </c>
      <c r="E62" s="21" t="s">
        <v>203</v>
      </c>
    </row>
    <row r="63" spans="1:12" ht="37.5" customHeight="1">
      <c r="A63" s="9" t="s">
        <v>204</v>
      </c>
      <c r="B63" s="15" t="s">
        <v>205</v>
      </c>
      <c r="C63" s="15" t="s">
        <v>48</v>
      </c>
      <c r="D63" s="105" t="str">
        <f>Input!D24</f>
        <v>Μεικτή θερμογόνος δύναμη</v>
      </c>
      <c r="E63" s="21" t="s">
        <v>130</v>
      </c>
    </row>
    <row r="64" spans="1:12" ht="15.75" customHeight="1">
      <c r="A64" s="9" t="s">
        <v>113</v>
      </c>
      <c r="B64" s="15" t="s">
        <v>206</v>
      </c>
      <c r="C64" s="84" t="str">
        <f>Input!C25</f>
        <v>s</v>
      </c>
      <c r="D64" s="15">
        <f>Input!D25</f>
        <v>250000</v>
      </c>
      <c r="E64" s="106" t="s">
        <v>207</v>
      </c>
    </row>
    <row r="65" spans="1:5" ht="29.25" customHeight="1">
      <c r="A65" s="9" t="s">
        <v>118</v>
      </c>
      <c r="B65" s="15" t="s">
        <v>208</v>
      </c>
      <c r="C65" s="15" t="str">
        <f>Input!C26</f>
        <v>s</v>
      </c>
      <c r="D65" s="15">
        <f>Input!D26</f>
        <v>200000</v>
      </c>
      <c r="E65" s="21" t="s">
        <v>209</v>
      </c>
    </row>
    <row r="66" spans="1:5" ht="15.75" customHeight="1">
      <c r="A66" s="61" t="s">
        <v>120</v>
      </c>
      <c r="B66" s="28" t="s">
        <v>210</v>
      </c>
      <c r="C66" s="28" t="s">
        <v>211</v>
      </c>
      <c r="D66" s="28">
        <f>Input!D27</f>
        <v>20</v>
      </c>
      <c r="E66" s="41" t="s">
        <v>212</v>
      </c>
    </row>
    <row r="67" spans="1:5" ht="15.75" customHeight="1"/>
    <row r="68" spans="1:5" ht="15.75" customHeight="1">
      <c r="A68" s="186" t="s">
        <v>213</v>
      </c>
      <c r="B68" s="156"/>
    </row>
    <row r="69" spans="1:5" ht="15.75" customHeight="1">
      <c r="A69" s="47" t="s">
        <v>214</v>
      </c>
      <c r="B69" s="107"/>
    </row>
    <row r="70" spans="1:5" ht="15.75" customHeight="1">
      <c r="A70" s="108" t="s">
        <v>215</v>
      </c>
      <c r="B70" s="20">
        <f>IF(D30="Φυσικό Αέριο",E16, IF(D30="Υγραέριο",H16, IF(D30="Πετρέλαιο θέρμανσης (ελαφρύ)",I16, IF(D30="Πετρέλαιο θέρμανσης (βαρύ)",I16))))</f>
        <v>35169000</v>
      </c>
    </row>
    <row r="71" spans="1:5" ht="15.75" customHeight="1">
      <c r="A71" s="108" t="s">
        <v>216</v>
      </c>
      <c r="B71" s="20">
        <f>IF(D30="Φυσικό Αέριο",E17, IF(D30="Υγραέριο",H17, IF(D30="Πετρέλαιο θέρμανσης (ελαφρύ)",I17, IF(D30="Πετρέλαιο θέρμανσης (βαρύ)",I17))))</f>
        <v>31652000</v>
      </c>
    </row>
    <row r="72" spans="1:5" ht="15.75" customHeight="1">
      <c r="A72" s="109" t="s">
        <v>217</v>
      </c>
      <c r="B72" s="67">
        <f>IF(C64="h",D64*3600,D64)</f>
        <v>250000</v>
      </c>
    </row>
    <row r="73" spans="1:5" ht="15" customHeight="1">
      <c r="A73" s="109" t="s">
        <v>218</v>
      </c>
      <c r="B73" s="67">
        <f>IF(AND(D30="Πετρέλαιο θέρμανσης (ελαφρύ)",C61="kg"),D61,IF(AND(D30="Πετρέλαιο θέρμανσης (ελαφρύ)",C61="l"),D61*F9,IF(AND(D30="Πετρέλαιο θέρμανσης (ελαφρύ)",C61="m3"),D61*G9,IF(AND(D30="Πετρέλαιο θέρμανσης (βαρύ)",C61="kg"),D61,IF(AND(D30="Πετρέλαιο θέρμανσης (βαρύ)",C61="l"),D61*F10,IF(AND(D30="Πετρέλαιο θέρμανσης (βαρύ)",C61="m3"),D61*G10,0))))))</f>
        <v>0</v>
      </c>
    </row>
    <row r="74" spans="1:5" ht="15" customHeight="1">
      <c r="A74" s="109" t="s">
        <v>219</v>
      </c>
      <c r="B74" s="67">
        <f>IF(AND(D30="Φυσικό Αέριο",C61="m3"),D61,IF(AND(D30="Φυσικό Αέριο",C61="l"),D61/1000,IF(AND(D30="Φυσικό Αέριο",C61="kg"),D61/G7,IF(AND(D30="Υγραέριο",C61="m3"),D61,IF(AND(D30="Υγραέριο",C61="l"),D61/1000,IF(AND(D30="Υγραέριο",C61="kg"),D61/G8,0))))))</f>
        <v>250</v>
      </c>
    </row>
    <row r="75" spans="1:5" ht="15" customHeight="1">
      <c r="A75" s="109" t="s">
        <v>220</v>
      </c>
      <c r="B75" s="67">
        <f>B74*Input!G20*(273)/((Input!F20+273)*100000)</f>
        <v>473.95833333333331</v>
      </c>
    </row>
    <row r="76" spans="1:5" ht="15.75" customHeight="1">
      <c r="A76" s="110"/>
      <c r="B76" s="111"/>
    </row>
    <row r="77" spans="1:5" ht="15.75" customHeight="1">
      <c r="A77" s="22" t="s">
        <v>221</v>
      </c>
      <c r="B77" s="104">
        <f>(IF(D30="Φυσικό Αέριο",B75, IF(D30="Υγραέριο",B75, IF(D30="Πετρέλαιο θέρμανσης (ελαφρύ)",B73,IF(D30="Πετρέλαιο θέρμανσης (βαρύ)",B73))))*IF(D63="Μεικτή θερμογόνος δύναμη",B70, IF(D63="Καθαρή θερμογόνος δύναμη",B71)))/(D62*B72)</f>
        <v>1.33349125</v>
      </c>
    </row>
    <row r="78" spans="1:5" ht="15.75" customHeight="1">
      <c r="A78" s="18" t="s">
        <v>222</v>
      </c>
      <c r="B78" s="67"/>
    </row>
    <row r="79" spans="1:5" ht="15.75" customHeight="1">
      <c r="A79" s="109" t="s">
        <v>217</v>
      </c>
      <c r="B79" s="67">
        <f t="shared" ref="B79:B80" si="2">IF(C64="h",D64*3600,D64)</f>
        <v>250000</v>
      </c>
    </row>
    <row r="80" spans="1:5" ht="15.75" customHeight="1">
      <c r="A80" s="112" t="s">
        <v>223</v>
      </c>
      <c r="B80" s="111">
        <f t="shared" si="2"/>
        <v>200000</v>
      </c>
    </row>
    <row r="81" spans="1:9" ht="15.75" customHeight="1">
      <c r="A81" s="22" t="s">
        <v>224</v>
      </c>
      <c r="B81" s="104">
        <f>B80/B79</f>
        <v>0.8</v>
      </c>
    </row>
    <row r="82" spans="1:9" ht="15.75" customHeight="1"/>
    <row r="83" spans="1:9" ht="15.75" customHeight="1">
      <c r="A83" s="113" t="s">
        <v>225</v>
      </c>
      <c r="B83" s="114">
        <f>IF(Input!B29:D29="Μεθοδολογία χρήσης καυσίμου",Calculations!B77,Calculations!B81)</f>
        <v>0.8</v>
      </c>
    </row>
    <row r="84" spans="1:9" ht="15.75" customHeight="1"/>
    <row r="85" spans="1:9" ht="15.75" customHeight="1">
      <c r="A85" s="63" t="s">
        <v>127</v>
      </c>
    </row>
    <row r="86" spans="1:9" ht="15.75" customHeight="1">
      <c r="A86" s="115" t="s">
        <v>132</v>
      </c>
    </row>
    <row r="87" spans="1:9" ht="15.75" customHeight="1"/>
    <row r="88" spans="1:9" ht="15.75" customHeight="1">
      <c r="A88" s="73" t="s">
        <v>226</v>
      </c>
    </row>
    <row r="89" spans="1:9" ht="29.25" customHeight="1">
      <c r="A89" s="65" t="s">
        <v>227</v>
      </c>
      <c r="B89" s="68" t="s">
        <v>228</v>
      </c>
    </row>
    <row r="90" spans="1:9" ht="15.75" customHeight="1">
      <c r="A90" s="116">
        <v>30</v>
      </c>
      <c r="B90" s="44">
        <v>9</v>
      </c>
    </row>
    <row r="91" spans="1:9" ht="15.75" customHeight="1">
      <c r="A91" s="117">
        <v>80</v>
      </c>
      <c r="B91" s="20">
        <v>12</v>
      </c>
    </row>
    <row r="92" spans="1:9" ht="15.75" customHeight="1">
      <c r="A92" s="118">
        <v>150</v>
      </c>
      <c r="B92" s="27">
        <v>15</v>
      </c>
    </row>
    <row r="93" spans="1:9" ht="7.5" customHeight="1"/>
    <row r="94" spans="1:9" ht="48" customHeight="1">
      <c r="A94" s="65" t="s">
        <v>134</v>
      </c>
      <c r="B94" s="66" t="s">
        <v>229</v>
      </c>
      <c r="C94" s="66" t="s">
        <v>230</v>
      </c>
      <c r="D94" s="66" t="s">
        <v>231</v>
      </c>
      <c r="E94" s="66" t="s">
        <v>232</v>
      </c>
      <c r="F94" s="68" t="s">
        <v>233</v>
      </c>
      <c r="I94" s="144" t="s">
        <v>273</v>
      </c>
    </row>
    <row r="95" spans="1:9" ht="15.75" customHeight="1">
      <c r="A95" s="69">
        <v>1</v>
      </c>
      <c r="B95" s="16">
        <f>Input!B38</f>
        <v>0.3</v>
      </c>
      <c r="C95" s="16">
        <f>Input!C38</f>
        <v>60</v>
      </c>
      <c r="D95" s="16">
        <f t="shared" ref="D95:D104" si="3">C95-$D$66</f>
        <v>40</v>
      </c>
      <c r="E95" s="16">
        <f t="shared" ref="E95:E104" si="4">IF(C95&lt;80,(9+((C95-$A$90)/($A$91-$A$90))*($B$91-$B$90)),IF(C95&gt;=80,(12+((C95-$A$91)/($A$92-$A$91))*($B$92-$B$91))))</f>
        <v>10.8</v>
      </c>
      <c r="F95" s="119">
        <f t="shared" ref="F95:F104" si="5">B95*D95*E95</f>
        <v>129.60000000000002</v>
      </c>
      <c r="I95" s="143">
        <f ca="1">FORECAST(C95,OFFSET($B$90:$B$92,MATCH(C95,$A$90:$A$92,1)-1,0,2),OFFSET($A$90:$A$92,MATCH(C95,$A$90:$A$92,1)-1,0,2))</f>
        <v>10.8</v>
      </c>
    </row>
    <row r="96" spans="1:9" ht="15.75" customHeight="1">
      <c r="A96" s="70">
        <v>2</v>
      </c>
      <c r="B96" s="16">
        <f>Input!B39</f>
        <v>0.3</v>
      </c>
      <c r="C96" s="16">
        <f>Input!C39</f>
        <v>65</v>
      </c>
      <c r="D96" s="19">
        <f t="shared" si="3"/>
        <v>45</v>
      </c>
      <c r="E96" s="19">
        <f t="shared" si="4"/>
        <v>11.1</v>
      </c>
      <c r="F96" s="67">
        <f t="shared" si="5"/>
        <v>149.85</v>
      </c>
      <c r="I96" s="143">
        <f t="shared" ref="I96:I104" ca="1" si="6">FORECAST(C96,OFFSET($B$90:$B$92,MATCH(C96,$A$90:$A$92,1)-1,0,2),OFFSET($A$90:$A$92,MATCH(C96,$A$90:$A$92,1)-1,0,2))</f>
        <v>11.1</v>
      </c>
    </row>
    <row r="97" spans="1:9" ht="15.75" customHeight="1">
      <c r="A97" s="70">
        <v>3</v>
      </c>
      <c r="B97" s="16">
        <f>Input!B40</f>
        <v>0.3</v>
      </c>
      <c r="C97" s="16">
        <f>Input!C40</f>
        <v>54</v>
      </c>
      <c r="D97" s="19">
        <f t="shared" si="3"/>
        <v>34</v>
      </c>
      <c r="E97" s="19">
        <f t="shared" si="4"/>
        <v>10.44</v>
      </c>
      <c r="F97" s="67">
        <f t="shared" si="5"/>
        <v>106.48799999999999</v>
      </c>
      <c r="I97" s="143">
        <f t="shared" ca="1" si="6"/>
        <v>10.44</v>
      </c>
    </row>
    <row r="98" spans="1:9" ht="15.75" customHeight="1">
      <c r="A98" s="70">
        <v>4</v>
      </c>
      <c r="B98" s="16">
        <f>Input!B41</f>
        <v>0.3</v>
      </c>
      <c r="C98" s="16">
        <f>Input!C41</f>
        <v>60</v>
      </c>
      <c r="D98" s="19">
        <f t="shared" si="3"/>
        <v>40</v>
      </c>
      <c r="E98" s="19">
        <f t="shared" si="4"/>
        <v>10.8</v>
      </c>
      <c r="F98" s="67">
        <f t="shared" si="5"/>
        <v>129.60000000000002</v>
      </c>
      <c r="I98" s="143">
        <f t="shared" ca="1" si="6"/>
        <v>10.8</v>
      </c>
    </row>
    <row r="99" spans="1:9" ht="15.75" customHeight="1">
      <c r="A99" s="70">
        <v>5</v>
      </c>
      <c r="B99" s="16">
        <f>Input!B42</f>
        <v>0.3</v>
      </c>
      <c r="C99" s="16">
        <f>Input!C42</f>
        <v>65</v>
      </c>
      <c r="D99" s="19">
        <f t="shared" si="3"/>
        <v>45</v>
      </c>
      <c r="E99" s="19">
        <f t="shared" si="4"/>
        <v>11.1</v>
      </c>
      <c r="F99" s="67">
        <f t="shared" si="5"/>
        <v>149.85</v>
      </c>
      <c r="I99" s="143">
        <f t="shared" ca="1" si="6"/>
        <v>11.1</v>
      </c>
    </row>
    <row r="100" spans="1:9" ht="15.75" customHeight="1">
      <c r="A100" s="70">
        <v>6</v>
      </c>
      <c r="B100" s="16">
        <f>Input!B43</f>
        <v>0.3</v>
      </c>
      <c r="C100" s="16">
        <f>Input!C43</f>
        <v>70</v>
      </c>
      <c r="D100" s="19">
        <f t="shared" si="3"/>
        <v>50</v>
      </c>
      <c r="E100" s="19">
        <f t="shared" si="4"/>
        <v>11.4</v>
      </c>
      <c r="F100" s="67">
        <f t="shared" si="5"/>
        <v>171</v>
      </c>
      <c r="I100" s="143">
        <f t="shared" ca="1" si="6"/>
        <v>11.4</v>
      </c>
    </row>
    <row r="101" spans="1:9" ht="15.75" customHeight="1">
      <c r="A101" s="70">
        <v>7</v>
      </c>
      <c r="B101" s="16">
        <f>Input!B44</f>
        <v>0.3</v>
      </c>
      <c r="C101" s="16">
        <f>Input!C44</f>
        <v>75</v>
      </c>
      <c r="D101" s="19">
        <f t="shared" si="3"/>
        <v>55</v>
      </c>
      <c r="E101" s="19">
        <f t="shared" si="4"/>
        <v>11.7</v>
      </c>
      <c r="F101" s="67">
        <f t="shared" si="5"/>
        <v>193.04999999999998</v>
      </c>
      <c r="I101" s="143">
        <f t="shared" ca="1" si="6"/>
        <v>11.7</v>
      </c>
    </row>
    <row r="102" spans="1:9" ht="15.75" customHeight="1">
      <c r="A102" s="70">
        <v>8</v>
      </c>
      <c r="B102" s="16">
        <f>Input!B45</f>
        <v>0.3</v>
      </c>
      <c r="C102" s="16">
        <f>Input!C45</f>
        <v>80</v>
      </c>
      <c r="D102" s="19">
        <f t="shared" si="3"/>
        <v>60</v>
      </c>
      <c r="E102" s="19">
        <f t="shared" si="4"/>
        <v>12</v>
      </c>
      <c r="F102" s="67">
        <f t="shared" si="5"/>
        <v>216</v>
      </c>
      <c r="I102" s="143">
        <f t="shared" ca="1" si="6"/>
        <v>12</v>
      </c>
    </row>
    <row r="103" spans="1:9" ht="15.75" customHeight="1">
      <c r="A103" s="70">
        <v>9</v>
      </c>
      <c r="B103" s="16">
        <f>Input!B46</f>
        <v>0.3</v>
      </c>
      <c r="C103" s="16">
        <f>Input!C46</f>
        <v>90</v>
      </c>
      <c r="D103" s="19">
        <f t="shared" si="3"/>
        <v>70</v>
      </c>
      <c r="E103" s="19">
        <f t="shared" si="4"/>
        <v>12.428571428571429</v>
      </c>
      <c r="F103" s="67">
        <f t="shared" si="5"/>
        <v>261</v>
      </c>
      <c r="I103" s="143">
        <f t="shared" ca="1" si="6"/>
        <v>12.428571428571429</v>
      </c>
    </row>
    <row r="104" spans="1:9" ht="15.75" customHeight="1">
      <c r="A104" s="70">
        <v>10</v>
      </c>
      <c r="B104" s="16">
        <f>Input!B47</f>
        <v>0.3</v>
      </c>
      <c r="C104" s="16">
        <f>Input!C47</f>
        <v>50</v>
      </c>
      <c r="D104" s="19">
        <f t="shared" si="3"/>
        <v>30</v>
      </c>
      <c r="E104" s="19">
        <f t="shared" si="4"/>
        <v>10.199999999999999</v>
      </c>
      <c r="F104" s="67">
        <f t="shared" si="5"/>
        <v>91.8</v>
      </c>
      <c r="I104" s="143">
        <f t="shared" ca="1" si="6"/>
        <v>10.199999999999999</v>
      </c>
    </row>
    <row r="105" spans="1:9" ht="15.75" customHeight="1">
      <c r="A105" s="120"/>
      <c r="B105" s="121"/>
      <c r="C105" s="121"/>
      <c r="D105" s="121"/>
      <c r="E105" s="121"/>
      <c r="F105" s="122"/>
    </row>
    <row r="106" spans="1:9" ht="15.75" customHeight="1">
      <c r="A106" s="123"/>
      <c r="B106" s="124"/>
      <c r="C106" s="124"/>
      <c r="D106" s="124"/>
      <c r="E106" s="124" t="s">
        <v>234</v>
      </c>
      <c r="F106" s="125">
        <f>SUM(F95:F104)</f>
        <v>1598.2380000000001</v>
      </c>
    </row>
    <row r="107" spans="1:9" ht="15.75" customHeight="1"/>
    <row r="108" spans="1:9" ht="15.75" customHeight="1">
      <c r="A108" s="126" t="s">
        <v>235</v>
      </c>
      <c r="B108" s="126">
        <f>100*F106 / D62</f>
        <v>3.1964760000000005</v>
      </c>
      <c r="C108" s="115" t="s">
        <v>236</v>
      </c>
    </row>
    <row r="109" spans="1:9" ht="15.75" customHeight="1"/>
    <row r="110" spans="1:9" ht="15.75" customHeight="1">
      <c r="A110" s="47" t="s">
        <v>237</v>
      </c>
      <c r="B110" s="107"/>
    </row>
    <row r="111" spans="1:9" ht="15.75" customHeight="1">
      <c r="A111" s="18" t="s">
        <v>238</v>
      </c>
      <c r="B111" s="67">
        <f>Input!B49</f>
        <v>70</v>
      </c>
    </row>
    <row r="112" spans="1:9" ht="15.75" customHeight="1">
      <c r="A112" s="18" t="s">
        <v>239</v>
      </c>
      <c r="B112" s="67">
        <f>Input!B50</f>
        <v>35</v>
      </c>
      <c r="C112" s="127"/>
    </row>
    <row r="113" spans="1:3" ht="15.75" customHeight="1">
      <c r="A113" s="18"/>
      <c r="B113" s="67"/>
    </row>
    <row r="114" spans="1:3" ht="15.75" customHeight="1">
      <c r="A114" s="128" t="s">
        <v>240</v>
      </c>
      <c r="B114" s="129">
        <f>B108*50/(B111-B112)</f>
        <v>4.5663942857142867</v>
      </c>
    </row>
    <row r="115" spans="1:3" ht="15.75" customHeight="1"/>
    <row r="116" spans="1:3" ht="15.75" customHeight="1"/>
    <row r="117" spans="1:3" ht="15.75" customHeight="1">
      <c r="A117" s="73" t="s">
        <v>142</v>
      </c>
    </row>
    <row r="118" spans="1:3" ht="15.75" customHeight="1"/>
    <row r="119" spans="1:3" ht="15.75" customHeight="1">
      <c r="A119" s="47" t="s">
        <v>241</v>
      </c>
      <c r="B119" s="48" t="s">
        <v>242</v>
      </c>
      <c r="C119" s="49" t="s">
        <v>243</v>
      </c>
    </row>
    <row r="120" spans="1:3" ht="15.75" customHeight="1">
      <c r="A120" s="4" t="s">
        <v>244</v>
      </c>
      <c r="B120" s="15">
        <v>1.72</v>
      </c>
      <c r="C120" s="21">
        <v>0.44</v>
      </c>
    </row>
    <row r="121" spans="1:3" ht="36.75" customHeight="1">
      <c r="A121" s="130" t="s">
        <v>245</v>
      </c>
      <c r="B121" s="15">
        <v>3.45</v>
      </c>
      <c r="C121" s="21">
        <v>0.88</v>
      </c>
    </row>
    <row r="122" spans="1:3" ht="15.75" customHeight="1">
      <c r="A122" s="4" t="s">
        <v>246</v>
      </c>
      <c r="B122" s="15">
        <v>6.9</v>
      </c>
      <c r="C122" s="21">
        <v>0.76</v>
      </c>
    </row>
    <row r="123" spans="1:3" ht="15.75" customHeight="1">
      <c r="A123" s="4" t="s">
        <v>247</v>
      </c>
      <c r="B123" s="15">
        <v>8.36</v>
      </c>
      <c r="C123" s="21">
        <v>2.2000000000000002</v>
      </c>
    </row>
    <row r="124" spans="1:3" ht="15.75" customHeight="1">
      <c r="A124" s="26" t="s">
        <v>248</v>
      </c>
      <c r="B124" s="28">
        <v>10.35</v>
      </c>
      <c r="C124" s="41">
        <v>2.64</v>
      </c>
    </row>
    <row r="125" spans="1:3" ht="15.75" customHeight="1"/>
    <row r="126" spans="1:3" ht="15.75" customHeight="1">
      <c r="A126" s="38" t="s">
        <v>143</v>
      </c>
    </row>
    <row r="127" spans="1:3" ht="15.75" customHeight="1">
      <c r="A127" s="131" t="s">
        <v>249</v>
      </c>
      <c r="B127" s="79">
        <f>IF(Input!B54="Λέβητας καλά θερμομονωμένος - καινούριος",Calculations!B120,IF(Input!B54="Λέβητας καλά θερμομονωμένος - καλά συντηρημένος",Calculations!B121,IF(Input!B54="Λέβητας θερμομονωμένος &gt;10 ετών",Calculations!B122,IF(Input!B54="Λέβητας ατελώς θερμομονωμένος &gt;10 ετών",Calculations!B123,IF(Input!B54="Λέβητας χωρίς θεμομόνωση",Calculations!B124)))))</f>
        <v>3.45</v>
      </c>
    </row>
    <row r="128" spans="1:3" ht="15.75" customHeight="1">
      <c r="A128" s="131" t="s">
        <v>250</v>
      </c>
      <c r="B128" s="79">
        <f>IF(Input!B54="Λέβητας καλά θερμομονωμένος - καινούριος",Calculations!C120,IF(Input!B54="Λέβητας καλά θερμομονωμένος - καλά συντηρημένος",Calculations!C121,IF(Input!B54="Λέβητας θερμομονωμένος &gt;10 ετών",Calculations!C122,IF(Input!B54="Λέβητας ατελώς θερμομονωμένος &gt;10 ετών",Calculations!C123,IF(Input!B54="Λέβητας χωρίς θεμομόνωση",Calculations!C124)))))</f>
        <v>0.88</v>
      </c>
    </row>
    <row r="129" spans="1:2" ht="15.75" customHeight="1">
      <c r="A129" s="126" t="s">
        <v>251</v>
      </c>
      <c r="B129" s="126">
        <f>B127-(B128*LOG(D62/1000))</f>
        <v>1.9549063961843036</v>
      </c>
    </row>
    <row r="130" spans="1:2" ht="15.75" customHeight="1"/>
    <row r="131" spans="1:2" ht="15.75" customHeight="1">
      <c r="A131" s="126" t="s">
        <v>252</v>
      </c>
      <c r="B131" s="126">
        <f>IF(Input!B33="Μέθοδος απωλειών κελύφους λέβητα (Αναλυτική Μέθοδος)",Calculations!B114,Calculations!B129)</f>
        <v>1.9549063961843036</v>
      </c>
    </row>
    <row r="132" spans="1:2" ht="15.75" customHeight="1"/>
    <row r="133" spans="1:2" ht="15.75" customHeight="1"/>
    <row r="134" spans="1:2" ht="15.75" customHeight="1">
      <c r="A134" s="63" t="s">
        <v>146</v>
      </c>
    </row>
    <row r="135" spans="1:2" ht="15.75" customHeight="1"/>
    <row r="136" spans="1:2" ht="15.75" customHeight="1">
      <c r="A136" s="73" t="s">
        <v>253</v>
      </c>
    </row>
    <row r="137" spans="1:2" ht="29.25" customHeight="1">
      <c r="A137" s="132" t="s">
        <v>97</v>
      </c>
      <c r="B137" s="68" t="s">
        <v>254</v>
      </c>
    </row>
    <row r="138" spans="1:2" ht="87" customHeight="1">
      <c r="A138" s="133" t="s">
        <v>155</v>
      </c>
      <c r="B138" s="106">
        <v>0.2</v>
      </c>
    </row>
    <row r="139" spans="1:2" ht="87.75" customHeight="1">
      <c r="A139" s="9" t="s">
        <v>156</v>
      </c>
      <c r="B139" s="21">
        <v>0.2</v>
      </c>
    </row>
    <row r="140" spans="1:2" ht="64.5" customHeight="1">
      <c r="A140" s="9" t="s">
        <v>157</v>
      </c>
      <c r="B140" s="21">
        <v>0.4</v>
      </c>
    </row>
    <row r="141" spans="1:2" ht="99" customHeight="1">
      <c r="A141" s="9" t="s">
        <v>158</v>
      </c>
      <c r="B141" s="21">
        <v>1</v>
      </c>
    </row>
    <row r="142" spans="1:2" ht="103.5" customHeight="1">
      <c r="A142" s="9" t="s">
        <v>160</v>
      </c>
      <c r="B142" s="21">
        <v>1.2</v>
      </c>
    </row>
    <row r="143" spans="1:2" ht="55.5" customHeight="1">
      <c r="A143" s="9" t="s">
        <v>161</v>
      </c>
      <c r="B143" s="21">
        <v>1.2</v>
      </c>
    </row>
    <row r="144" spans="1:2" ht="51" customHeight="1">
      <c r="A144" s="61" t="s">
        <v>162</v>
      </c>
      <c r="B144" s="41">
        <v>1.6</v>
      </c>
    </row>
    <row r="145" spans="1:2" ht="15.75" customHeight="1"/>
    <row r="146" spans="1:2" ht="15.75" customHeight="1">
      <c r="A146" s="8" t="s">
        <v>255</v>
      </c>
      <c r="B146" s="79">
        <f>Input!C58</f>
        <v>6</v>
      </c>
    </row>
    <row r="147" spans="1:2" ht="15.75" customHeight="1">
      <c r="A147" s="134" t="s">
        <v>256</v>
      </c>
      <c r="B147" s="135">
        <f>CHOOSE(B146,B138,B139,B140,B141,B142,B143,B144)</f>
        <v>1.2</v>
      </c>
    </row>
    <row r="148" spans="1:2" ht="15.75" customHeight="1"/>
    <row r="149" spans="1:2" ht="15.75" customHeight="1"/>
    <row r="150" spans="1:2" ht="15.75" customHeight="1">
      <c r="A150" s="63" t="s">
        <v>165</v>
      </c>
    </row>
    <row r="151" spans="1:2" ht="15.75" customHeight="1">
      <c r="A151" s="136" t="s">
        <v>168</v>
      </c>
      <c r="B151" s="137"/>
    </row>
    <row r="152" spans="1:2" ht="15.75" customHeight="1">
      <c r="A152" s="138" t="s">
        <v>181</v>
      </c>
      <c r="B152" s="139" t="str">
        <f>Input!B79</f>
        <v>Λέβητας πολλαπλών βαθμίδων</v>
      </c>
    </row>
    <row r="153" spans="1:2" ht="15.75" customHeight="1">
      <c r="A153" s="109" t="s">
        <v>223</v>
      </c>
      <c r="B153" s="67">
        <f>IF(Input!C77="s",Input!D77,(Input!D77*3600))</f>
        <v>7200</v>
      </c>
    </row>
    <row r="154" spans="1:2" ht="15.75" customHeight="1">
      <c r="A154" s="18" t="s">
        <v>257</v>
      </c>
      <c r="B154" s="67">
        <f>IF(Input!C78="s",Input!D78,(Input!D78*3600))</f>
        <v>18000</v>
      </c>
    </row>
    <row r="155" spans="1:2" ht="15.75" customHeight="1">
      <c r="A155" s="18" t="s">
        <v>258</v>
      </c>
      <c r="B155" s="67">
        <f>B51%*(B153/B154)</f>
        <v>0.3083333333333334</v>
      </c>
    </row>
    <row r="156" spans="1:2" ht="15.75" customHeight="1">
      <c r="A156" s="18"/>
      <c r="B156" s="67"/>
    </row>
    <row r="157" spans="1:2" ht="15.75" customHeight="1">
      <c r="A157" s="18" t="s">
        <v>259</v>
      </c>
      <c r="B157" s="67">
        <f>Input!D80</f>
        <v>25000</v>
      </c>
    </row>
    <row r="158" spans="1:2" ht="15.75" customHeight="1">
      <c r="A158" s="18" t="s">
        <v>260</v>
      </c>
      <c r="B158" s="67">
        <f>(B51%)*(B153/B154)*(D62/B157)</f>
        <v>0.61666666666666681</v>
      </c>
    </row>
    <row r="159" spans="1:2" ht="15.75" customHeight="1">
      <c r="A159" s="18"/>
      <c r="B159" s="67"/>
    </row>
    <row r="160" spans="1:2" ht="15.75" customHeight="1">
      <c r="A160" s="18" t="s">
        <v>188</v>
      </c>
      <c r="B160" s="67"/>
    </row>
    <row r="161" spans="1:3" ht="15.75" customHeight="1">
      <c r="A161" s="18"/>
      <c r="B161" s="67"/>
    </row>
    <row r="162" spans="1:3" ht="15.75" customHeight="1">
      <c r="A162" s="18" t="s">
        <v>261</v>
      </c>
      <c r="B162" s="67">
        <f>Input!D87</f>
        <v>0</v>
      </c>
    </row>
    <row r="163" spans="1:3" ht="15.75" customHeight="1">
      <c r="A163" s="18" t="s">
        <v>262</v>
      </c>
      <c r="B163" s="67">
        <f>Input!D88</f>
        <v>0</v>
      </c>
    </row>
    <row r="164" spans="1:3" ht="15.75" customHeight="1">
      <c r="A164" s="18" t="s">
        <v>263</v>
      </c>
      <c r="B164" s="67">
        <f>Input!D89</f>
        <v>0</v>
      </c>
    </row>
    <row r="165" spans="1:3" ht="15.75" customHeight="1">
      <c r="A165" s="18" t="s">
        <v>264</v>
      </c>
      <c r="B165" s="67">
        <f>Input!D90</f>
        <v>0</v>
      </c>
    </row>
    <row r="166" spans="1:3" ht="15.75" customHeight="1">
      <c r="A166" s="18"/>
      <c r="B166" s="67"/>
    </row>
    <row r="167" spans="1:3" ht="15.75" customHeight="1">
      <c r="A167" s="18" t="s">
        <v>265</v>
      </c>
      <c r="B167" s="67">
        <f>B162-B163+(B164%*B165)</f>
        <v>0</v>
      </c>
    </row>
    <row r="168" spans="1:3" ht="15.75" customHeight="1">
      <c r="A168" s="18" t="s">
        <v>266</v>
      </c>
      <c r="B168" s="67">
        <f>(B167*100)/(D62*B154)</f>
        <v>0</v>
      </c>
    </row>
    <row r="169" spans="1:3" ht="15.75" customHeight="1">
      <c r="A169" s="18"/>
      <c r="B169" s="67"/>
    </row>
    <row r="170" spans="1:3" ht="15.75" customHeight="1">
      <c r="A170" s="140" t="s">
        <v>267</v>
      </c>
      <c r="B170" s="141">
        <f>IF(Input!B71="Μέθοδος βοηθητικού καυστήρα",Calculations!B168,IF(AND(Input!B71="Μέθοδος συντελεστή λειτουργίας αναμονής", B152="Λέβητας πολλαπλών βαθμίδων"),B158,IF(AND(Input!B71="Μέθοδος συντελεστή λειτουργίας αναμονής", B152="Λέβητας μίας βαθμίδας"),B155)))</f>
        <v>0</v>
      </c>
    </row>
    <row r="171" spans="1:3" ht="15.75" customHeight="1"/>
    <row r="172" spans="1:3" ht="15.75" customHeight="1">
      <c r="A172" s="187" t="s">
        <v>268</v>
      </c>
      <c r="B172" s="178"/>
      <c r="C172" s="179"/>
    </row>
    <row r="173" spans="1:3" ht="15.75" customHeight="1">
      <c r="A173" s="180" t="s">
        <v>269</v>
      </c>
      <c r="B173" s="181"/>
      <c r="C173" s="182"/>
    </row>
    <row r="174" spans="1:3" ht="15.75" customHeight="1">
      <c r="A174" s="142" t="s">
        <v>270</v>
      </c>
      <c r="B174" s="188">
        <f>B53-(((1/B83)-1)*B147) - ((1/B83)*B131)</f>
        <v>74.339700338102972</v>
      </c>
      <c r="C174" s="182"/>
    </row>
    <row r="175" spans="1:3" ht="15.75" customHeight="1">
      <c r="A175" s="180"/>
      <c r="B175" s="181"/>
      <c r="C175" s="182"/>
    </row>
    <row r="176" spans="1:3" ht="15.75" customHeight="1">
      <c r="A176" s="180" t="s">
        <v>271</v>
      </c>
      <c r="B176" s="181"/>
      <c r="C176" s="182"/>
    </row>
    <row r="177" spans="1:3" ht="15.75" customHeight="1">
      <c r="A177" s="140" t="s">
        <v>272</v>
      </c>
      <c r="B177" s="183">
        <f>(B53-B131)*(100-(B170/B83))/(100-B170)</f>
        <v>75.128426937149044</v>
      </c>
      <c r="C177" s="184"/>
    </row>
    <row r="178" spans="1:3" ht="15.75" customHeight="1"/>
    <row r="179" spans="1:3" ht="15.75" customHeight="1"/>
    <row r="180" spans="1:3" ht="15.75" customHeight="1"/>
    <row r="181" spans="1:3" ht="15.75" customHeight="1"/>
    <row r="182" spans="1:3" ht="15.75" customHeight="1"/>
    <row r="183" spans="1:3" ht="15.75" customHeight="1"/>
    <row r="184" spans="1:3" ht="15.75" customHeight="1"/>
    <row r="185" spans="1:3" ht="15.75" customHeight="1"/>
    <row r="186" spans="1:3" ht="15.75" customHeight="1"/>
    <row r="187" spans="1:3" ht="15.75" customHeight="1"/>
    <row r="188" spans="1:3" ht="15.75" customHeight="1"/>
    <row r="189" spans="1:3" ht="15.75" customHeight="1"/>
    <row r="190" spans="1:3" ht="15.75" customHeight="1"/>
    <row r="191" spans="1:3" ht="15.75" customHeight="1"/>
    <row r="192" spans="1:3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19">
    <mergeCell ref="A176:C176"/>
    <mergeCell ref="B177:C177"/>
    <mergeCell ref="B13:B14"/>
    <mergeCell ref="A32:B32"/>
    <mergeCell ref="A68:B68"/>
    <mergeCell ref="A172:C172"/>
    <mergeCell ref="A173:C173"/>
    <mergeCell ref="B174:C174"/>
    <mergeCell ref="A175:C175"/>
    <mergeCell ref="A54:L54"/>
    <mergeCell ref="A56:D56"/>
    <mergeCell ref="A58:E58"/>
    <mergeCell ref="A22:E22"/>
    <mergeCell ref="A2:D2"/>
    <mergeCell ref="A5:D5"/>
    <mergeCell ref="A12:I12"/>
    <mergeCell ref="A13:A14"/>
    <mergeCell ref="C13:C14"/>
    <mergeCell ref="D13:I13"/>
  </mergeCells>
  <dataValidations count="1">
    <dataValidation type="list" allowBlank="1" showErrorMessage="1" sqref="D63" xr:uid="{00000000-0002-0000-0100-000000000000}">
      <formula1>"Μεικτή θερμογόνος δύναμη,Καθαρή θερμογόνος δύναμη"</formula1>
    </dataValidation>
  </dataValidation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>
      <selection sqref="A1:D2"/>
    </sheetView>
  </sheetViews>
  <sheetFormatPr defaultColWidth="12.625" defaultRowHeight="15" customHeight="1"/>
  <cols>
    <col min="1" max="1" width="28.75" customWidth="1"/>
    <col min="2" max="2" width="24.375" customWidth="1"/>
    <col min="3" max="3" width="11.625" customWidth="1"/>
    <col min="4" max="4" width="26.25" customWidth="1"/>
    <col min="5" max="26" width="7.625" customWidth="1"/>
  </cols>
  <sheetData>
    <row r="1" spans="1:5" ht="14.25">
      <c r="A1" s="160" t="s">
        <v>2</v>
      </c>
      <c r="B1" s="161"/>
      <c r="C1" s="161"/>
      <c r="D1" s="162"/>
    </row>
    <row r="2" spans="1:5" ht="14.25">
      <c r="A2" s="166"/>
      <c r="B2" s="167"/>
      <c r="C2" s="167"/>
      <c r="D2" s="168"/>
    </row>
    <row r="3" spans="1:5" ht="30">
      <c r="A3" s="5" t="s">
        <v>7</v>
      </c>
      <c r="B3" s="6"/>
      <c r="C3" s="6" t="s">
        <v>8</v>
      </c>
      <c r="D3" s="7"/>
      <c r="E3" s="8"/>
    </row>
    <row r="4" spans="1:5" ht="30">
      <c r="A4" s="9" t="s">
        <v>9</v>
      </c>
      <c r="B4" s="10"/>
      <c r="C4" s="10" t="s">
        <v>10</v>
      </c>
      <c r="D4" s="11"/>
      <c r="E4" s="8"/>
    </row>
    <row r="5" spans="1:5" ht="30">
      <c r="A5" s="9" t="s">
        <v>11</v>
      </c>
      <c r="B5" s="10"/>
      <c r="C5" s="10" t="s">
        <v>12</v>
      </c>
      <c r="D5" s="11"/>
      <c r="E5" s="8"/>
    </row>
    <row r="6" spans="1:5">
      <c r="A6" s="9" t="s">
        <v>13</v>
      </c>
      <c r="B6" s="10"/>
      <c r="C6" s="10" t="s">
        <v>14</v>
      </c>
      <c r="D6" s="11"/>
      <c r="E6" s="8"/>
    </row>
    <row r="7" spans="1:5">
      <c r="A7" s="9" t="s">
        <v>15</v>
      </c>
      <c r="B7" s="10"/>
      <c r="C7" s="10" t="s">
        <v>16</v>
      </c>
      <c r="D7" s="11"/>
      <c r="E7" s="8"/>
    </row>
    <row r="8" spans="1:5" ht="30">
      <c r="A8" s="9" t="s">
        <v>17</v>
      </c>
      <c r="B8" s="10"/>
      <c r="C8" s="10" t="s">
        <v>18</v>
      </c>
      <c r="D8" s="11"/>
      <c r="E8" s="8"/>
    </row>
    <row r="9" spans="1:5" ht="17.25">
      <c r="A9" s="9" t="s">
        <v>23</v>
      </c>
      <c r="B9" s="190">
        <f>Input!D5</f>
        <v>300</v>
      </c>
      <c r="C9" s="181"/>
      <c r="D9" s="182"/>
    </row>
    <row r="10" spans="1:5" ht="33">
      <c r="A10" s="4" t="s">
        <v>45</v>
      </c>
      <c r="B10" s="190">
        <f>Calculations!D26</f>
        <v>12</v>
      </c>
      <c r="C10" s="181"/>
      <c r="D10" s="182"/>
    </row>
    <row r="11" spans="1:5" ht="17.25">
      <c r="A11" s="4" t="s">
        <v>51</v>
      </c>
      <c r="B11" s="190">
        <f>Input!D6</f>
        <v>25</v>
      </c>
      <c r="C11" s="181"/>
      <c r="D11" s="182"/>
    </row>
    <row r="12" spans="1:5" ht="18">
      <c r="A12" s="31" t="s">
        <v>55</v>
      </c>
      <c r="B12" s="194">
        <f>ROUNDUP(Calculations!B53,2)</f>
        <v>77.09</v>
      </c>
      <c r="C12" s="181"/>
      <c r="D12" s="182"/>
    </row>
    <row r="13" spans="1:5" ht="18">
      <c r="A13" s="18" t="s">
        <v>57</v>
      </c>
      <c r="B13" s="190">
        <f>Calculations!B49</f>
        <v>0</v>
      </c>
      <c r="C13" s="181"/>
      <c r="D13" s="182"/>
    </row>
    <row r="14" spans="1:5" ht="18">
      <c r="A14" s="18" t="s">
        <v>58</v>
      </c>
      <c r="B14" s="190">
        <f>ROUNDUP(Calculations!B131,2)</f>
        <v>1.96</v>
      </c>
      <c r="C14" s="181"/>
      <c r="D14" s="182"/>
    </row>
    <row r="15" spans="1:5" ht="18">
      <c r="A15" s="18" t="s">
        <v>59</v>
      </c>
      <c r="B15" s="190">
        <f>ROUNDUP(Calculations!B83,2)</f>
        <v>0.8</v>
      </c>
      <c r="C15" s="181"/>
      <c r="D15" s="182"/>
    </row>
    <row r="16" spans="1:5" ht="33">
      <c r="A16" s="36" t="s">
        <v>60</v>
      </c>
      <c r="B16" s="191">
        <f>ROUNDUP(Calculations!B174,2)</f>
        <v>74.34</v>
      </c>
      <c r="C16" s="181"/>
      <c r="D16" s="182"/>
    </row>
    <row r="17" spans="1:4" ht="48">
      <c r="A17" s="37" t="s">
        <v>62</v>
      </c>
      <c r="B17" s="192">
        <f>ROUNDUP(Calculations!B177,2)</f>
        <v>75.13000000000001</v>
      </c>
      <c r="C17" s="193"/>
      <c r="D17" s="184"/>
    </row>
    <row r="21" spans="1:4" ht="15.75" customHeight="1"/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15:D15"/>
    <mergeCell ref="B16:D16"/>
    <mergeCell ref="B17:D17"/>
    <mergeCell ref="A1:D2"/>
    <mergeCell ref="B9:D9"/>
    <mergeCell ref="B10:D10"/>
    <mergeCell ref="B11:D11"/>
    <mergeCell ref="B12:D12"/>
    <mergeCell ref="B13:D13"/>
    <mergeCell ref="B14:D1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</vt:lpstr>
      <vt:lpstr>Calculations</vt:lpstr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Chantzis</dc:creator>
  <cp:lastModifiedBy>Petros Charalambides</cp:lastModifiedBy>
  <dcterms:created xsi:type="dcterms:W3CDTF">2020-03-23T09:05:56Z</dcterms:created>
  <dcterms:modified xsi:type="dcterms:W3CDTF">2023-04-10T08:57:38Z</dcterms:modified>
</cp:coreProperties>
</file>